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300" windowWidth="20730" windowHeight="11340" firstSheet="8" activeTab="8"/>
  </bookViews>
  <sheets>
    <sheet name="Лист1" sheetId="1" state="hidden" r:id="rId1"/>
    <sheet name="Тавассум" sheetId="2" state="hidden" r:id="rId2"/>
    <sheet name="Лист2" sheetId="3" state="hidden" r:id="rId3"/>
    <sheet name="хакимият" sheetId="4" state="hidden" r:id="rId4"/>
    <sheet name="копия хакимият" sheetId="5" state="hidden" r:id="rId5"/>
    <sheet name="Лист3" sheetId="6" state="hidden" r:id="rId6"/>
    <sheet name="Лист4" sheetId="7" state="hidden" r:id="rId7"/>
    <sheet name="Лист5" sheetId="8" state="hidden" r:id="rId8"/>
    <sheet name="Лист6" sheetId="9" r:id="rId9"/>
    <sheet name="Лист7" sheetId="10" state="hidden" r:id="rId10"/>
  </sheets>
  <externalReferences>
    <externalReference r:id="rId11"/>
  </externalReferenc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6" i="9"/>
  <c r="G45"/>
  <c r="E45"/>
  <c r="H18"/>
  <c r="H8"/>
  <c r="F26" i="10" l="1"/>
  <c r="F13"/>
  <c r="F5"/>
  <c r="G8" s="1"/>
  <c r="G45"/>
  <c r="G37"/>
  <c r="G34"/>
  <c r="I30"/>
  <c r="G27"/>
  <c r="I26"/>
  <c r="G29"/>
  <c r="G22"/>
  <c r="G21"/>
  <c r="G20"/>
  <c r="H18"/>
  <c r="G18"/>
  <c r="G17"/>
  <c r="G15"/>
  <c r="G14"/>
  <c r="G13"/>
  <c r="G23"/>
  <c r="G9"/>
  <c r="G5"/>
  <c r="G6" l="1"/>
  <c r="G11" s="1"/>
  <c r="G10"/>
  <c r="G7"/>
  <c r="G28"/>
  <c r="G35"/>
  <c r="G26"/>
  <c r="G32"/>
  <c r="G36"/>
  <c r="G16"/>
  <c r="G19"/>
  <c r="G30"/>
  <c r="G33"/>
  <c r="H36"/>
  <c r="H38" s="1"/>
  <c r="G31"/>
  <c r="G38"/>
  <c r="G24" l="1"/>
  <c r="G39"/>
  <c r="I30" i="9"/>
  <c r="I26"/>
  <c r="G36"/>
  <c r="G22"/>
  <c r="G10"/>
  <c r="G6"/>
  <c r="G7"/>
  <c r="H13" i="8"/>
  <c r="H5"/>
  <c r="H26"/>
  <c r="J18"/>
  <c r="J36"/>
  <c r="I32"/>
  <c r="K30"/>
  <c r="K26"/>
  <c r="G41" i="10" l="1"/>
  <c r="G42" s="1"/>
  <c r="G43" s="1"/>
  <c r="G14" i="9"/>
  <c r="G18"/>
  <c r="G21"/>
  <c r="G31"/>
  <c r="G38"/>
  <c r="G8"/>
  <c r="G16"/>
  <c r="G19"/>
  <c r="G23"/>
  <c r="G30"/>
  <c r="G33"/>
  <c r="H36"/>
  <c r="G5"/>
  <c r="G9"/>
  <c r="G13"/>
  <c r="G17"/>
  <c r="G20"/>
  <c r="G27"/>
  <c r="G34"/>
  <c r="G37"/>
  <c r="G28"/>
  <c r="G35"/>
  <c r="G15"/>
  <c r="G26"/>
  <c r="G29"/>
  <c r="G32"/>
  <c r="J38" i="8"/>
  <c r="G44" i="10" l="1"/>
  <c r="G46" s="1"/>
  <c r="G48" s="1"/>
  <c r="G11" i="9"/>
  <c r="G39"/>
  <c r="G24"/>
  <c r="H38"/>
  <c r="G41" l="1"/>
  <c r="G42" s="1"/>
  <c r="G43" s="1"/>
  <c r="G44" l="1"/>
  <c r="G48" l="1"/>
  <c r="I33" i="8"/>
  <c r="I45"/>
  <c r="H46" i="9" l="1"/>
  <c r="H48" s="1"/>
  <c r="I38" i="8"/>
  <c r="I37"/>
  <c r="I36"/>
  <c r="I35"/>
  <c r="I34"/>
  <c r="I31"/>
  <c r="I30"/>
  <c r="I29"/>
  <c r="I28"/>
  <c r="I27"/>
  <c r="I26"/>
  <c r="I23"/>
  <c r="I22"/>
  <c r="I21"/>
  <c r="I20"/>
  <c r="I19"/>
  <c r="I18"/>
  <c r="I17"/>
  <c r="I16"/>
  <c r="I15"/>
  <c r="I14"/>
  <c r="I13"/>
  <c r="I10"/>
  <c r="I9"/>
  <c r="I8"/>
  <c r="I7"/>
  <c r="I6"/>
  <c r="I5"/>
  <c r="I11" l="1"/>
  <c r="I39"/>
  <c r="I24"/>
  <c r="G46" i="7"/>
  <c r="G43"/>
  <c r="G36"/>
  <c r="G35"/>
  <c r="G34"/>
  <c r="G33"/>
  <c r="G32"/>
  <c r="G31"/>
  <c r="G30"/>
  <c r="G29"/>
  <c r="G28"/>
  <c r="G27"/>
  <c r="G23"/>
  <c r="G22"/>
  <c r="G21"/>
  <c r="G20"/>
  <c r="G19"/>
  <c r="G18"/>
  <c r="G17"/>
  <c r="G16"/>
  <c r="G15"/>
  <c r="G14"/>
  <c r="G13"/>
  <c r="G10"/>
  <c r="G9"/>
  <c r="G8"/>
  <c r="G7"/>
  <c r="G6"/>
  <c r="G26"/>
  <c r="G5"/>
  <c r="I41" i="8" l="1"/>
  <c r="I42" s="1"/>
  <c r="I43" s="1"/>
  <c r="G11" i="7"/>
  <c r="G24"/>
  <c r="G37"/>
  <c r="I44" i="8" l="1"/>
  <c r="I46" s="1"/>
  <c r="I48" s="1"/>
  <c r="G39" i="7"/>
  <c r="N27" i="6"/>
  <c r="N16"/>
  <c r="N23"/>
  <c r="N18"/>
  <c r="N17"/>
  <c r="N15"/>
  <c r="N14"/>
  <c r="N13"/>
  <c r="N12"/>
  <c r="F16"/>
  <c r="F15"/>
  <c r="I15" s="1"/>
  <c r="F13"/>
  <c r="F12"/>
  <c r="F34"/>
  <c r="I34" s="1"/>
  <c r="F33"/>
  <c r="I33" s="1"/>
  <c r="F32"/>
  <c r="I32" s="1"/>
  <c r="F31"/>
  <c r="I31" s="1"/>
  <c r="F30"/>
  <c r="I30" s="1"/>
  <c r="F29"/>
  <c r="I29" s="1"/>
  <c r="F28"/>
  <c r="I28" s="1"/>
  <c r="F27"/>
  <c r="I27" s="1"/>
  <c r="F26"/>
  <c r="I26" s="1"/>
  <c r="F25"/>
  <c r="I25" s="1"/>
  <c r="F24"/>
  <c r="I24" s="1"/>
  <c r="F23"/>
  <c r="I23" s="1"/>
  <c r="F22"/>
  <c r="I22" s="1"/>
  <c r="F21"/>
  <c r="I21" s="1"/>
  <c r="F20"/>
  <c r="I20" s="1"/>
  <c r="F19"/>
  <c r="F18"/>
  <c r="I18" s="1"/>
  <c r="K18" s="1"/>
  <c r="F17"/>
  <c r="I17" s="1"/>
  <c r="E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F35" l="1"/>
  <c r="F14"/>
  <c r="I14" s="1"/>
  <c r="K14" s="1"/>
  <c r="K17"/>
  <c r="I16"/>
  <c r="K16" s="1"/>
  <c r="I12"/>
  <c r="I35" s="1"/>
  <c r="I19"/>
  <c r="K19" s="1"/>
  <c r="I13"/>
  <c r="K13" s="1"/>
  <c r="K15"/>
  <c r="K20"/>
  <c r="K21"/>
  <c r="K22"/>
  <c r="K23"/>
  <c r="K24"/>
  <c r="K25"/>
  <c r="K26"/>
  <c r="K27"/>
  <c r="K28"/>
  <c r="K29"/>
  <c r="K30"/>
  <c r="K31"/>
  <c r="K32"/>
  <c r="K33"/>
  <c r="K34"/>
  <c r="G40" i="7" l="1"/>
  <c r="G41" s="1"/>
  <c r="K12" i="6"/>
  <c r="G42" i="7" l="1"/>
  <c r="G44" s="1"/>
  <c r="K35" i="6"/>
  <c r="H20" i="5" l="1"/>
  <c r="K20"/>
  <c r="D16" l="1"/>
  <c r="F16" s="1"/>
  <c r="H16" s="1"/>
  <c r="D15"/>
  <c r="D7"/>
  <c r="D6"/>
  <c r="D5"/>
  <c r="F5" s="1"/>
  <c r="K19"/>
  <c r="J26"/>
  <c r="F22"/>
  <c r="K18"/>
  <c r="F15"/>
  <c r="F14"/>
  <c r="D12"/>
  <c r="F12" s="1"/>
  <c r="F11"/>
  <c r="H11" s="1"/>
  <c r="F10"/>
  <c r="H10" s="1"/>
  <c r="D10"/>
  <c r="F9"/>
  <c r="F7"/>
  <c r="F6"/>
  <c r="K18" i="4"/>
  <c r="H15" i="5" l="1"/>
  <c r="G15"/>
  <c r="I15" s="1"/>
  <c r="G7"/>
  <c r="I7" s="1"/>
  <c r="H7"/>
  <c r="F8"/>
  <c r="H5"/>
  <c r="G5"/>
  <c r="I5" s="1"/>
  <c r="F13"/>
  <c r="H9"/>
  <c r="G9"/>
  <c r="I9" s="1"/>
  <c r="H12"/>
  <c r="G12"/>
  <c r="I12" s="1"/>
  <c r="G14"/>
  <c r="I14" s="1"/>
  <c r="F17"/>
  <c r="H14"/>
  <c r="G10"/>
  <c r="I10" s="1"/>
  <c r="G11"/>
  <c r="I11" s="1"/>
  <c r="G16"/>
  <c r="I16" s="1"/>
  <c r="H25" i="4"/>
  <c r="G25"/>
  <c r="H17" i="5" l="1"/>
  <c r="G17"/>
  <c r="I17" s="1"/>
  <c r="F18"/>
  <c r="G8"/>
  <c r="I8" s="1"/>
  <c r="H8"/>
  <c r="H13"/>
  <c r="G13"/>
  <c r="I13" s="1"/>
  <c r="F23" i="4"/>
  <c r="F21"/>
  <c r="F19" i="5" l="1"/>
  <c r="G18" s="1"/>
  <c r="H18" s="1"/>
  <c r="I18" s="1"/>
  <c r="F22" i="4"/>
  <c r="F20" i="5" l="1"/>
  <c r="D16" i="4"/>
  <c r="F16" s="1"/>
  <c r="H16" s="1"/>
  <c r="D15"/>
  <c r="D14"/>
  <c r="D12"/>
  <c r="D10"/>
  <c r="D9"/>
  <c r="D7"/>
  <c r="D6"/>
  <c r="F6" s="1"/>
  <c r="D5"/>
  <c r="F21" i="5" l="1"/>
  <c r="F23" s="1"/>
  <c r="F25" s="1"/>
  <c r="G16" i="4"/>
  <c r="I16" s="1"/>
  <c r="G25" i="5" l="1"/>
  <c r="H25" s="1"/>
  <c r="K22"/>
  <c r="K23" s="1"/>
  <c r="F15" i="4"/>
  <c r="H15" s="1"/>
  <c r="F14"/>
  <c r="F12"/>
  <c r="H12" s="1"/>
  <c r="F11"/>
  <c r="G11" s="1"/>
  <c r="I11" s="1"/>
  <c r="F10"/>
  <c r="H10" s="1"/>
  <c r="F9"/>
  <c r="F7"/>
  <c r="G7" s="1"/>
  <c r="I7" s="1"/>
  <c r="F5"/>
  <c r="H14" l="1"/>
  <c r="F17"/>
  <c r="F8"/>
  <c r="G9"/>
  <c r="I9" s="1"/>
  <c r="F13"/>
  <c r="G15"/>
  <c r="I15" s="1"/>
  <c r="G14"/>
  <c r="I14" s="1"/>
  <c r="G12"/>
  <c r="I12" s="1"/>
  <c r="H11"/>
  <c r="H7"/>
  <c r="H9"/>
  <c r="G10"/>
  <c r="I10" s="1"/>
  <c r="G5"/>
  <c r="I5" s="1"/>
  <c r="H5"/>
  <c r="D10" i="2"/>
  <c r="D9"/>
  <c r="D8"/>
  <c r="D7"/>
  <c r="D6"/>
  <c r="D5"/>
  <c r="F15" i="3"/>
  <c r="G12"/>
  <c r="D40"/>
  <c r="F40" s="1"/>
  <c r="D39"/>
  <c r="F39" s="1"/>
  <c r="D38"/>
  <c r="F38" s="1"/>
  <c r="J38" s="1"/>
  <c r="D37"/>
  <c r="F37" s="1"/>
  <c r="D36"/>
  <c r="F36" s="1"/>
  <c r="D35"/>
  <c r="F35" s="1"/>
  <c r="F34"/>
  <c r="D34"/>
  <c r="F10"/>
  <c r="F9"/>
  <c r="G9" s="1"/>
  <c r="I9" s="1"/>
  <c r="G8"/>
  <c r="I8" s="1"/>
  <c r="F8"/>
  <c r="F7"/>
  <c r="G7" s="1"/>
  <c r="I7" s="1"/>
  <c r="F6"/>
  <c r="J36" s="1"/>
  <c r="F5"/>
  <c r="G5" s="1"/>
  <c r="I5" s="1"/>
  <c r="H4"/>
  <c r="F4"/>
  <c r="G4" s="1"/>
  <c r="I4" s="1"/>
  <c r="G17" i="4" l="1"/>
  <c r="I17" s="1"/>
  <c r="H17"/>
  <c r="F18"/>
  <c r="F19" s="1"/>
  <c r="G13"/>
  <c r="I13" s="1"/>
  <c r="H13"/>
  <c r="G8"/>
  <c r="I8" s="1"/>
  <c r="H8"/>
  <c r="J35" i="3"/>
  <c r="J39"/>
  <c r="J40"/>
  <c r="F42"/>
  <c r="J34"/>
  <c r="G6"/>
  <c r="I6" s="1"/>
  <c r="J37"/>
  <c r="F12"/>
  <c r="G10"/>
  <c r="I10" s="1"/>
  <c r="D71" i="2"/>
  <c r="D70"/>
  <c r="F70" s="1"/>
  <c r="D69"/>
  <c r="F69" s="1"/>
  <c r="D68"/>
  <c r="F68" s="1"/>
  <c r="D67"/>
  <c r="D66"/>
  <c r="D65"/>
  <c r="F71"/>
  <c r="F67"/>
  <c r="F66"/>
  <c r="F42"/>
  <c r="F41"/>
  <c r="F40"/>
  <c r="F39"/>
  <c r="F38"/>
  <c r="F37"/>
  <c r="F36"/>
  <c r="F26"/>
  <c r="F25"/>
  <c r="F24"/>
  <c r="F23"/>
  <c r="F22"/>
  <c r="F21"/>
  <c r="F20"/>
  <c r="G18" i="4" l="1"/>
  <c r="H18" s="1"/>
  <c r="I18" s="1"/>
  <c r="F20"/>
  <c r="F43" i="3"/>
  <c r="F44" s="1"/>
  <c r="J42"/>
  <c r="F13"/>
  <c r="F65" i="2"/>
  <c r="F73" s="1"/>
  <c r="F74" s="1"/>
  <c r="F75" s="1"/>
  <c r="F44"/>
  <c r="F45" s="1"/>
  <c r="F46" s="1"/>
  <c r="F28"/>
  <c r="F29" s="1"/>
  <c r="F30" s="1"/>
  <c r="F10"/>
  <c r="F9"/>
  <c r="F8"/>
  <c r="F7"/>
  <c r="F6"/>
  <c r="F5"/>
  <c r="F4"/>
  <c r="J70" l="1"/>
  <c r="G9"/>
  <c r="I9" s="1"/>
  <c r="J67"/>
  <c r="G6"/>
  <c r="I6" s="1"/>
  <c r="J71"/>
  <c r="G10"/>
  <c r="I10" s="1"/>
  <c r="J68"/>
  <c r="G7"/>
  <c r="I7" s="1"/>
  <c r="J69"/>
  <c r="G8"/>
  <c r="I8" s="1"/>
  <c r="J66"/>
  <c r="G5"/>
  <c r="I5" s="1"/>
  <c r="J43" i="3"/>
  <c r="F45"/>
  <c r="F46" s="1"/>
  <c r="F14"/>
  <c r="H12"/>
  <c r="I12" s="1"/>
  <c r="H4" i="2"/>
  <c r="G4"/>
  <c r="I4" s="1"/>
  <c r="J65"/>
  <c r="F76"/>
  <c r="F77" s="1"/>
  <c r="F47"/>
  <c r="F48" s="1"/>
  <c r="H48" s="1"/>
  <c r="F31"/>
  <c r="F32" s="1"/>
  <c r="H32" s="1"/>
  <c r="F12"/>
  <c r="F13" s="1"/>
  <c r="E60" i="1"/>
  <c r="E59"/>
  <c r="E58"/>
  <c r="E57"/>
  <c r="E56"/>
  <c r="E55"/>
  <c r="E54"/>
  <c r="E53"/>
  <c r="E52"/>
  <c r="E51"/>
  <c r="E50"/>
  <c r="E16"/>
  <c r="E15"/>
  <c r="E14"/>
  <c r="E13"/>
  <c r="E12"/>
  <c r="E11"/>
  <c r="E10"/>
  <c r="E9"/>
  <c r="E8"/>
  <c r="E7"/>
  <c r="E6"/>
  <c r="F16" i="3" l="1"/>
  <c r="J45"/>
  <c r="J44"/>
  <c r="G12" i="2"/>
  <c r="H12" s="1"/>
  <c r="I12" s="1"/>
  <c r="J73"/>
  <c r="E17" i="1"/>
  <c r="E61"/>
  <c r="E62" s="1"/>
  <c r="E18"/>
  <c r="J46" i="3" l="1"/>
  <c r="H16"/>
  <c r="F14" i="2"/>
  <c r="J74"/>
  <c r="F15" l="1"/>
  <c r="J75"/>
  <c r="J76" l="1"/>
  <c r="F16"/>
  <c r="J77" l="1"/>
  <c r="I25" i="5" l="1"/>
  <c r="I25" i="4"/>
  <c r="J25" l="1"/>
  <c r="J25" i="5"/>
</calcChain>
</file>

<file path=xl/sharedStrings.xml><?xml version="1.0" encoding="utf-8"?>
<sst xmlns="http://schemas.openxmlformats.org/spreadsheetml/2006/main" count="735" uniqueCount="136">
  <si>
    <t>№</t>
  </si>
  <si>
    <t>Азык аукат атамасы</t>
  </si>
  <si>
    <t>Саны</t>
  </si>
  <si>
    <t>Сумма</t>
  </si>
  <si>
    <t>Лепешка</t>
  </si>
  <si>
    <t>Жуйери гуртик</t>
  </si>
  <si>
    <t>Салат Цезарь</t>
  </si>
  <si>
    <t>Салат овощной</t>
  </si>
  <si>
    <t>Салат Нежность</t>
  </si>
  <si>
    <t>Фруктовые ассорти</t>
  </si>
  <si>
    <t>Сок</t>
  </si>
  <si>
    <t>Чай чёрный с молоком</t>
  </si>
  <si>
    <t>Напитка Кола</t>
  </si>
  <si>
    <t>Минирал суу</t>
  </si>
  <si>
    <t>Кок чай</t>
  </si>
  <si>
    <t>Жами</t>
  </si>
  <si>
    <t>за обслуживание услуг 25%</t>
  </si>
  <si>
    <t>Бахасы</t>
  </si>
  <si>
    <t>МЕНЮ</t>
  </si>
  <si>
    <t>Атамасы</t>
  </si>
  <si>
    <t>Олшем бирлиги</t>
  </si>
  <si>
    <t>Баҳасы</t>
  </si>
  <si>
    <t>Суммасы</t>
  </si>
  <si>
    <t>Палаў</t>
  </si>
  <si>
    <t>Порца</t>
  </si>
  <si>
    <t>Салат</t>
  </si>
  <si>
    <t>Дана</t>
  </si>
  <si>
    <t>Салат (чимчи)</t>
  </si>
  <si>
    <t>Нан</t>
  </si>
  <si>
    <t>Сомса</t>
  </si>
  <si>
    <t>Беляши</t>
  </si>
  <si>
    <t>Чай (0,5л)</t>
  </si>
  <si>
    <t>Чайник</t>
  </si>
  <si>
    <t>Жыйнағы</t>
  </si>
  <si>
    <t>10 % Хызмети ушын</t>
  </si>
  <si>
    <t>15% НДС</t>
  </si>
  <si>
    <t>Жәми НДС менен</t>
  </si>
  <si>
    <t>Всего меню тавассум   20-май 2022 год  на 304  человек</t>
  </si>
  <si>
    <t>Меню Тавассум   21-май 2022 год  на 97 человек</t>
  </si>
  <si>
    <t>Всего меню Тавассум   20-май 2022 год  на 207 человек</t>
  </si>
  <si>
    <t>"ТАБАССУМ НУКУС" МЧЖ</t>
  </si>
  <si>
    <t>Нокис к.А.Досназаров №115</t>
  </si>
  <si>
    <t>р/с 2020 8000 905 008 023 001</t>
  </si>
  <si>
    <t>Хамкор банк Нукус филиал</t>
  </si>
  <si>
    <t>МФО:01068 ИНН:302435628</t>
  </si>
  <si>
    <t>Директор __________Ш.Шамуратова</t>
  </si>
  <si>
    <t>Уз денсаулыкты саклау хызметкерлери</t>
  </si>
  <si>
    <t xml:space="preserve">касиплик аукамынын ККР Кенеси </t>
  </si>
  <si>
    <t>Нокис к.Амир Тимур №120 жай</t>
  </si>
  <si>
    <t>р/с 2021 2000 8053 6914 8002</t>
  </si>
  <si>
    <t xml:space="preserve">Микрокредит банк Нукус филиал </t>
  </si>
  <si>
    <t>МФО:00584 ИНН 207337463</t>
  </si>
  <si>
    <t>Директор __________  Л.Байбосынова</t>
  </si>
  <si>
    <t>меню Тавассум  2022-жыл  03-июнь куни ЖАМИ 52 адам</t>
  </si>
  <si>
    <t>меню Тавассум  2022-жыл  20-21 май кунлери ЖАМИ 304 адам</t>
  </si>
  <si>
    <t>___________________________</t>
  </si>
  <si>
    <t>____________________________</t>
  </si>
  <si>
    <t>Завтрак</t>
  </si>
  <si>
    <t>шт</t>
  </si>
  <si>
    <t>Обед</t>
  </si>
  <si>
    <t>литр</t>
  </si>
  <si>
    <t>Палау</t>
  </si>
  <si>
    <t>порца</t>
  </si>
  <si>
    <t>Ужин</t>
  </si>
  <si>
    <t>Машава</t>
  </si>
  <si>
    <t>Однаразовый пасуда (пласмассовый)</t>
  </si>
  <si>
    <t xml:space="preserve">меню Тавассум    1-кунлик жеткерип беретугын ыссы аукатлардын дизими   </t>
  </si>
  <si>
    <t xml:space="preserve">2022-жыл 8-июльден 16-июльге шекемги 9-кунлик ыссы аукатлардын жами суммасы </t>
  </si>
  <si>
    <t>9 кунлик сумма</t>
  </si>
  <si>
    <t>Маек (2-шт)</t>
  </si>
  <si>
    <t>Нан( 0,5)</t>
  </si>
  <si>
    <t>Салат (1-шт)</t>
  </si>
  <si>
    <t>19 кунлик сумма</t>
  </si>
  <si>
    <t xml:space="preserve">2022-жыл 8-июльден 26-июльге шекемги 19-кунлик ыссы аукатлардын жами суммасы </t>
  </si>
  <si>
    <t>СЧЕТ-ФАКТУРА № ____               ОТ ________________2022 г</t>
  </si>
  <si>
    <t>к товарно-отгрузочным документам №____ от ___________.2022 г</t>
  </si>
  <si>
    <t xml:space="preserve">        Поставчик: ООО Табассум Нукус</t>
  </si>
  <si>
    <t>Заказчик    ________________________</t>
  </si>
  <si>
    <t xml:space="preserve">        Адрес: г.Нукус ул А.Досназаров 115</t>
  </si>
  <si>
    <t>Адрес:       ________________________</t>
  </si>
  <si>
    <t xml:space="preserve">                      ИНН: 302435628</t>
  </si>
  <si>
    <t>ИНН             ________________________</t>
  </si>
  <si>
    <t xml:space="preserve">                     НДС: </t>
  </si>
  <si>
    <t>__________________________________</t>
  </si>
  <si>
    <t>Наименование товаров (работ,услуг)</t>
  </si>
  <si>
    <t>Ед</t>
  </si>
  <si>
    <t>Кол-во</t>
  </si>
  <si>
    <t>Цена</t>
  </si>
  <si>
    <t>Стоимость поставки</t>
  </si>
  <si>
    <t>НДС</t>
  </si>
  <si>
    <t>Стоимость поставки с учетом НДС</t>
  </si>
  <si>
    <t>ставка</t>
  </si>
  <si>
    <t>сумма</t>
  </si>
  <si>
    <t>Картошка</t>
  </si>
  <si>
    <t>кг</t>
  </si>
  <si>
    <t>Пияз</t>
  </si>
  <si>
    <t>Гешир</t>
  </si>
  <si>
    <t>Гуриш</t>
  </si>
  <si>
    <t>Ак май</t>
  </si>
  <si>
    <t>Песок</t>
  </si>
  <si>
    <t>Макарон</t>
  </si>
  <si>
    <t>Гош</t>
  </si>
  <si>
    <t>Маек</t>
  </si>
  <si>
    <t>Маш</t>
  </si>
  <si>
    <t>Ловя</t>
  </si>
  <si>
    <t>Томат</t>
  </si>
  <si>
    <t>Дуз</t>
  </si>
  <si>
    <t>Памидор</t>
  </si>
  <si>
    <t>Капуста</t>
  </si>
  <si>
    <t>Кыяр</t>
  </si>
  <si>
    <t>Итого</t>
  </si>
  <si>
    <t xml:space="preserve">Всего к оплате:  () сум НДС : </t>
  </si>
  <si>
    <t>Руководитель: Ш.Шамуратова</t>
  </si>
  <si>
    <t>Получил:____________________________</t>
  </si>
  <si>
    <t>Главный бухгалтер:</t>
  </si>
  <si>
    <t>Доверенность:______________________</t>
  </si>
  <si>
    <t>Товар отпустил________________________________</t>
  </si>
  <si>
    <t>____________________________________</t>
  </si>
  <si>
    <t>Пасуда мой</t>
  </si>
  <si>
    <t>Колбаса</t>
  </si>
  <si>
    <t>Гречка</t>
  </si>
  <si>
    <t>Минвода(0,5)</t>
  </si>
  <si>
    <t>35 кунлик сумма</t>
  </si>
  <si>
    <t>Осимлик май</t>
  </si>
  <si>
    <t>гр</t>
  </si>
  <si>
    <t xml:space="preserve">2022-жыл 8-июльден 12-августга шекемги 35-кунлик ыссы аукатлардын жами суммасы </t>
  </si>
  <si>
    <t>Адам саны</t>
  </si>
  <si>
    <t xml:space="preserve">меню Табассум    1-кунлик жеткерип беретугын ыссы аукатлардын дизими   </t>
  </si>
  <si>
    <t xml:space="preserve">Кок чай </t>
  </si>
  <si>
    <t>1-кунлик</t>
  </si>
  <si>
    <t>жами кун</t>
  </si>
  <si>
    <t xml:space="preserve">меню                             1-кунлик жеткерип беретугын ыссы аукатлардын дизими   </t>
  </si>
  <si>
    <t xml:space="preserve">Муддети </t>
  </si>
  <si>
    <t xml:space="preserve">иш кун </t>
  </si>
  <si>
    <t>Есапшы</t>
  </si>
  <si>
    <t>Ж.Утениязов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</si>
</sst>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NumberForma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0" fillId="0" borderId="1" xfId="0" applyNumberForma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0" fillId="2" borderId="0" xfId="0" applyNumberForma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3" fontId="6" fillId="0" borderId="0" xfId="0" applyNumberFormat="1" applyFont="1" applyBorder="1" applyAlignment="1">
      <alignment horizontal="center" vertical="center" wrapText="1"/>
    </xf>
    <xf numFmtId="165" fontId="0" fillId="0" borderId="0" xfId="0" applyNumberFormat="1"/>
    <xf numFmtId="165" fontId="6" fillId="0" borderId="0" xfId="0" applyNumberFormat="1" applyFont="1" applyBorder="1" applyAlignment="1">
      <alignment horizontal="center" vertical="center" wrapText="1"/>
    </xf>
    <xf numFmtId="165" fontId="0" fillId="2" borderId="0" xfId="0" applyNumberFormat="1" applyFill="1" applyBorder="1" applyAlignment="1">
      <alignment horizontal="center" vertical="center" wrapText="1"/>
    </xf>
    <xf numFmtId="165" fontId="0" fillId="0" borderId="0" xfId="0" applyNumberFormat="1" applyBorder="1" applyAlignment="1">
      <alignment horizontal="center" vertical="center" wrapText="1"/>
    </xf>
    <xf numFmtId="165" fontId="0" fillId="0" borderId="0" xfId="0" applyNumberForma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9" fillId="0" borderId="0" xfId="0" applyFont="1"/>
    <xf numFmtId="0" fontId="0" fillId="4" borderId="0" xfId="0" applyFill="1"/>
    <xf numFmtId="165" fontId="0" fillId="4" borderId="0" xfId="0" applyNumberFormat="1" applyFill="1"/>
    <xf numFmtId="0" fontId="6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165" fontId="6" fillId="4" borderId="0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3" fontId="0" fillId="4" borderId="1" xfId="0" applyNumberFormat="1" applyFill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 wrapText="1"/>
    </xf>
    <xf numFmtId="4" fontId="0" fillId="4" borderId="0" xfId="0" applyNumberFormat="1" applyFill="1" applyBorder="1" applyAlignment="1">
      <alignment horizontal="center" vertical="center" wrapText="1"/>
    </xf>
    <xf numFmtId="165" fontId="0" fillId="4" borderId="0" xfId="0" applyNumberForma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4" borderId="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Border="1" applyAlignment="1">
      <alignment horizontal="center" vertical="center" wrapText="1"/>
    </xf>
    <xf numFmtId="3" fontId="0" fillId="4" borderId="0" xfId="0" applyNumberFormat="1" applyFill="1"/>
    <xf numFmtId="0" fontId="0" fillId="2" borderId="0" xfId="0" applyFill="1"/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3" fontId="0" fillId="2" borderId="0" xfId="0" applyNumberFormat="1" applyFill="1"/>
    <xf numFmtId="0" fontId="7" fillId="2" borderId="0" xfId="0" applyFont="1" applyFill="1"/>
    <xf numFmtId="0" fontId="9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16" fontId="1" fillId="2" borderId="0" xfId="0" applyNumberFormat="1" applyFont="1" applyFill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66" fontId="11" fillId="0" borderId="1" xfId="1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6" fontId="11" fillId="0" borderId="3" xfId="1" applyNumberFormat="1" applyFont="1" applyBorder="1" applyAlignment="1">
      <alignment horizontal="center" vertical="center"/>
    </xf>
    <xf numFmtId="166" fontId="11" fillId="0" borderId="5" xfId="1" applyNumberFormat="1" applyFont="1" applyBorder="1" applyAlignment="1">
      <alignment horizontal="center" vertical="center"/>
    </xf>
    <xf numFmtId="166" fontId="11" fillId="2" borderId="1" xfId="1" applyNumberFormat="1" applyFont="1" applyFill="1" applyBorder="1" applyAlignment="1">
      <alignment horizontal="center" vertical="center"/>
    </xf>
    <xf numFmtId="166" fontId="12" fillId="0" borderId="3" xfId="1" applyNumberFormat="1" applyFont="1" applyBorder="1" applyAlignment="1">
      <alignment horizontal="center" vertical="center"/>
    </xf>
    <xf numFmtId="166" fontId="12" fillId="0" borderId="4" xfId="1" applyNumberFormat="1" applyFont="1" applyBorder="1" applyAlignment="1">
      <alignment horizontal="center" vertical="center"/>
    </xf>
    <xf numFmtId="166" fontId="12" fillId="0" borderId="5" xfId="1" applyNumberFormat="1" applyFont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166" fontId="12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6" fillId="2" borderId="3" xfId="0" applyFont="1" applyFill="1" applyBorder="1" applyAlignment="1"/>
    <xf numFmtId="0" fontId="6" fillId="2" borderId="4" xfId="0" applyFont="1" applyFill="1" applyBorder="1" applyAlignment="1"/>
    <xf numFmtId="4" fontId="0" fillId="2" borderId="0" xfId="0" applyNumberForma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Telegram%20Desktop\1&#1053;&#1085;&#1085;&#1085;&#1085;&#1085;&#1072;&#1082;&#1083;&#1072;&#1076;&#1085;&#1072;&#1103;%20&#1080;&#1102;&#1083;&#1100;%20(&#1040;&#1074;&#1090;&#1086;&#1089;&#1086;&#1093;&#1088;&#1072;&#1085;&#1077;&#1085;&#1085;&#1099;&#1081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ригада--МПР"/>
      <sheetName val="Лабаротория"/>
      <sheetName val="ЖИЭБ-№2"/>
      <sheetName val="Клиника"/>
      <sheetName val="Акшолак   "/>
      <sheetName val="Детсад"/>
      <sheetName val="Мигрант"/>
      <sheetName val="Госпиталь"/>
      <sheetName val="Накладная"/>
      <sheetName val="ООО Шурахон Курлиш Мантаж   "/>
      <sheetName val="Полигон"/>
      <sheetName val="МПР ПАЛИГОН"/>
      <sheetName val="Ишки ислер"/>
      <sheetName val="мойнак"/>
      <sheetName val="мпр (2)"/>
      <sheetName val="аут больница"/>
      <sheetName val="Лист1"/>
      <sheetName val="Лист2"/>
    </sheetNames>
    <sheetDataSet>
      <sheetData sheetId="0"/>
      <sheetData sheetId="1">
        <row r="1049">
          <cell r="F1049">
            <v>46873300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2"/>
  <sheetViews>
    <sheetView workbookViewId="0">
      <selection activeCell="D6" sqref="D6:D16"/>
    </sheetView>
  </sheetViews>
  <sheetFormatPr defaultRowHeight="15"/>
  <cols>
    <col min="1" max="1" width="3.140625" style="1" bestFit="1" customWidth="1"/>
    <col min="2" max="2" width="34.5703125" style="1" customWidth="1"/>
    <col min="3" max="3" width="11" style="1" customWidth="1"/>
    <col min="4" max="4" width="12.140625" style="1" customWidth="1"/>
    <col min="5" max="5" width="19.140625" style="1" customWidth="1"/>
    <col min="6" max="6" width="9.140625" style="1"/>
    <col min="7" max="7" width="10.140625" style="1" bestFit="1" customWidth="1"/>
    <col min="8" max="8" width="9.140625" style="1"/>
    <col min="9" max="9" width="10.28515625" style="1" bestFit="1" customWidth="1"/>
  </cols>
  <sheetData>
    <row r="1" spans="1:9">
      <c r="A1" s="10"/>
      <c r="B1" s="10"/>
      <c r="C1" s="10"/>
      <c r="D1" s="10"/>
      <c r="E1" s="10"/>
    </row>
    <row r="2" spans="1:9">
      <c r="A2" s="106" t="s">
        <v>18</v>
      </c>
      <c r="B2" s="106"/>
      <c r="C2" s="106"/>
      <c r="D2" s="106"/>
      <c r="E2" s="106"/>
    </row>
    <row r="3" spans="1:9">
      <c r="A3" s="106"/>
      <c r="B3" s="106"/>
      <c r="C3" s="106"/>
      <c r="D3" s="106"/>
      <c r="E3" s="106"/>
    </row>
    <row r="4" spans="1:9">
      <c r="A4" s="10"/>
      <c r="B4" s="10"/>
      <c r="C4" s="10"/>
      <c r="D4" s="10"/>
      <c r="E4" s="10"/>
    </row>
    <row r="5" spans="1:9" ht="28.5" customHeight="1">
      <c r="A5" s="11" t="s">
        <v>0</v>
      </c>
      <c r="B5" s="11" t="s">
        <v>1</v>
      </c>
      <c r="C5" s="11" t="s">
        <v>2</v>
      </c>
      <c r="D5" s="11" t="s">
        <v>17</v>
      </c>
      <c r="E5" s="11" t="s">
        <v>3</v>
      </c>
    </row>
    <row r="6" spans="1:9" s="9" customFormat="1" ht="15.75">
      <c r="A6" s="12">
        <v>1</v>
      </c>
      <c r="B6" s="13" t="s">
        <v>4</v>
      </c>
      <c r="C6" s="12">
        <v>16</v>
      </c>
      <c r="D6" s="14">
        <v>6000</v>
      </c>
      <c r="E6" s="14">
        <f>C6*D6</f>
        <v>96000</v>
      </c>
      <c r="F6" s="8"/>
      <c r="G6" s="8"/>
      <c r="H6" s="8"/>
      <c r="I6" s="8"/>
    </row>
    <row r="7" spans="1:9" s="9" customFormat="1" ht="15.75">
      <c r="A7" s="12">
        <v>2</v>
      </c>
      <c r="B7" s="13" t="s">
        <v>5</v>
      </c>
      <c r="C7" s="12">
        <v>8</v>
      </c>
      <c r="D7" s="14">
        <v>80000</v>
      </c>
      <c r="E7" s="14">
        <f t="shared" ref="E7:E16" si="0">C7*D7</f>
        <v>640000</v>
      </c>
      <c r="F7" s="8"/>
      <c r="G7" s="8"/>
      <c r="H7" s="8"/>
      <c r="I7" s="8"/>
    </row>
    <row r="8" spans="1:9" s="9" customFormat="1" ht="15.75">
      <c r="A8" s="12">
        <v>3</v>
      </c>
      <c r="B8" s="13" t="s">
        <v>6</v>
      </c>
      <c r="C8" s="12">
        <v>8</v>
      </c>
      <c r="D8" s="14">
        <v>27000</v>
      </c>
      <c r="E8" s="14">
        <f t="shared" si="0"/>
        <v>216000</v>
      </c>
      <c r="F8" s="8"/>
      <c r="G8" s="8"/>
      <c r="H8" s="8"/>
      <c r="I8" s="8"/>
    </row>
    <row r="9" spans="1:9" s="9" customFormat="1" ht="15.75">
      <c r="A9" s="12">
        <v>4</v>
      </c>
      <c r="B9" s="13" t="s">
        <v>7</v>
      </c>
      <c r="C9" s="12">
        <v>8</v>
      </c>
      <c r="D9" s="14">
        <v>25000</v>
      </c>
      <c r="E9" s="14">
        <f t="shared" si="0"/>
        <v>200000</v>
      </c>
      <c r="F9" s="8"/>
      <c r="G9" s="8"/>
      <c r="H9" s="8"/>
      <c r="I9" s="8"/>
    </row>
    <row r="10" spans="1:9" s="9" customFormat="1" ht="15.75">
      <c r="A10" s="12">
        <v>5</v>
      </c>
      <c r="B10" s="13" t="s">
        <v>8</v>
      </c>
      <c r="C10" s="12">
        <v>8</v>
      </c>
      <c r="D10" s="14">
        <v>21000</v>
      </c>
      <c r="E10" s="14">
        <f t="shared" si="0"/>
        <v>168000</v>
      </c>
      <c r="F10" s="8"/>
      <c r="G10" s="8"/>
      <c r="H10" s="8"/>
      <c r="I10" s="8"/>
    </row>
    <row r="11" spans="1:9" s="9" customFormat="1" ht="15.75">
      <c r="A11" s="12">
        <v>6</v>
      </c>
      <c r="B11" s="13" t="s">
        <v>9</v>
      </c>
      <c r="C11" s="12">
        <v>5</v>
      </c>
      <c r="D11" s="14">
        <v>55000</v>
      </c>
      <c r="E11" s="14">
        <f t="shared" si="0"/>
        <v>275000</v>
      </c>
      <c r="F11" s="8"/>
      <c r="G11" s="8"/>
      <c r="H11" s="8"/>
      <c r="I11" s="8"/>
    </row>
    <row r="12" spans="1:9" s="9" customFormat="1" ht="15.75">
      <c r="A12" s="12">
        <v>7</v>
      </c>
      <c r="B12" s="13" t="s">
        <v>10</v>
      </c>
      <c r="C12" s="12">
        <v>6</v>
      </c>
      <c r="D12" s="14">
        <v>12000</v>
      </c>
      <c r="E12" s="14">
        <f t="shared" si="0"/>
        <v>72000</v>
      </c>
      <c r="F12" s="8"/>
      <c r="G12" s="8"/>
      <c r="H12" s="8"/>
      <c r="I12" s="8"/>
    </row>
    <row r="13" spans="1:9" s="9" customFormat="1" ht="15.75">
      <c r="A13" s="12">
        <v>8</v>
      </c>
      <c r="B13" s="13" t="s">
        <v>11</v>
      </c>
      <c r="C13" s="12">
        <v>4</v>
      </c>
      <c r="D13" s="14">
        <v>8000</v>
      </c>
      <c r="E13" s="14">
        <f t="shared" si="0"/>
        <v>32000</v>
      </c>
      <c r="F13" s="8"/>
      <c r="G13" s="8"/>
      <c r="H13" s="8"/>
      <c r="I13" s="8"/>
    </row>
    <row r="14" spans="1:9" s="9" customFormat="1" ht="15.75">
      <c r="A14" s="12">
        <v>9</v>
      </c>
      <c r="B14" s="13" t="s">
        <v>12</v>
      </c>
      <c r="C14" s="12">
        <v>4</v>
      </c>
      <c r="D14" s="14">
        <v>14000</v>
      </c>
      <c r="E14" s="14">
        <f t="shared" si="0"/>
        <v>56000</v>
      </c>
      <c r="F14" s="8"/>
      <c r="G14" s="8"/>
      <c r="H14" s="8"/>
      <c r="I14" s="8"/>
    </row>
    <row r="15" spans="1:9" s="9" customFormat="1" ht="15.75">
      <c r="A15" s="12">
        <v>10</v>
      </c>
      <c r="B15" s="13" t="s">
        <v>13</v>
      </c>
      <c r="C15" s="12">
        <v>2</v>
      </c>
      <c r="D15" s="14">
        <v>6000</v>
      </c>
      <c r="E15" s="14">
        <f t="shared" si="0"/>
        <v>12000</v>
      </c>
      <c r="F15" s="8"/>
      <c r="G15" s="8"/>
      <c r="H15" s="8"/>
      <c r="I15" s="8"/>
    </row>
    <row r="16" spans="1:9" s="9" customFormat="1" ht="15.75">
      <c r="A16" s="12">
        <v>11</v>
      </c>
      <c r="B16" s="13" t="s">
        <v>14</v>
      </c>
      <c r="C16" s="12">
        <v>12</v>
      </c>
      <c r="D16" s="14">
        <v>2000</v>
      </c>
      <c r="E16" s="14">
        <f t="shared" si="0"/>
        <v>24000</v>
      </c>
      <c r="F16" s="8"/>
      <c r="G16" s="8"/>
      <c r="H16" s="8"/>
      <c r="I16" s="8"/>
    </row>
    <row r="17" spans="1:9" s="9" customFormat="1" ht="15.75">
      <c r="A17" s="12">
        <v>12</v>
      </c>
      <c r="B17" s="13" t="s">
        <v>16</v>
      </c>
      <c r="C17" s="12"/>
      <c r="D17" s="14"/>
      <c r="E17" s="14">
        <f>(E6+E7+E8+E9+E10+E11+E12+E13+E14+E15+E16)*25%</f>
        <v>447750</v>
      </c>
      <c r="F17" s="8"/>
      <c r="G17" s="8"/>
      <c r="H17" s="8"/>
      <c r="I17" s="8"/>
    </row>
    <row r="18" spans="1:9" s="9" customFormat="1" ht="15.75">
      <c r="A18" s="11"/>
      <c r="B18" s="15" t="s">
        <v>15</v>
      </c>
      <c r="C18" s="11"/>
      <c r="D18" s="16"/>
      <c r="E18" s="16">
        <f>SUM(E6:E17)</f>
        <v>2238750</v>
      </c>
      <c r="F18" s="8"/>
      <c r="G18" s="17"/>
      <c r="H18" s="17"/>
      <c r="I18" s="8"/>
    </row>
    <row r="19" spans="1:9" s="9" customFormat="1" ht="15.75">
      <c r="A19" s="8"/>
      <c r="B19" s="8"/>
      <c r="C19" s="8"/>
      <c r="D19" s="8"/>
      <c r="E19" s="8"/>
      <c r="F19" s="8"/>
      <c r="G19" s="8"/>
      <c r="H19" s="8"/>
      <c r="I19" s="8"/>
    </row>
    <row r="49" spans="1:5" ht="15.75">
      <c r="A49" s="2" t="s">
        <v>0</v>
      </c>
      <c r="B49" s="2" t="s">
        <v>1</v>
      </c>
      <c r="C49" s="2" t="s">
        <v>2</v>
      </c>
      <c r="D49" s="2" t="s">
        <v>17</v>
      </c>
      <c r="E49" s="2" t="s">
        <v>3</v>
      </c>
    </row>
    <row r="50" spans="1:5" ht="15.75">
      <c r="A50" s="5">
        <v>1</v>
      </c>
      <c r="B50" s="6" t="s">
        <v>4</v>
      </c>
      <c r="C50" s="5">
        <v>16</v>
      </c>
      <c r="D50" s="7">
        <v>6000</v>
      </c>
      <c r="E50" s="7">
        <f>C50*D50</f>
        <v>96000</v>
      </c>
    </row>
    <row r="51" spans="1:5" ht="15.75">
      <c r="A51" s="5">
        <v>2</v>
      </c>
      <c r="B51" s="6" t="s">
        <v>5</v>
      </c>
      <c r="C51" s="5">
        <v>9</v>
      </c>
      <c r="D51" s="7">
        <v>80000</v>
      </c>
      <c r="E51" s="7">
        <f t="shared" ref="E51:E60" si="1">C51*D51</f>
        <v>720000</v>
      </c>
    </row>
    <row r="52" spans="1:5" ht="15.75">
      <c r="A52" s="5">
        <v>3</v>
      </c>
      <c r="B52" s="6" t="s">
        <v>6</v>
      </c>
      <c r="C52" s="5">
        <v>9</v>
      </c>
      <c r="D52" s="7">
        <v>27000</v>
      </c>
      <c r="E52" s="7">
        <f t="shared" si="1"/>
        <v>243000</v>
      </c>
    </row>
    <row r="53" spans="1:5" ht="15.75">
      <c r="A53" s="5">
        <v>4</v>
      </c>
      <c r="B53" s="6" t="s">
        <v>7</v>
      </c>
      <c r="C53" s="5">
        <v>9</v>
      </c>
      <c r="D53" s="7">
        <v>25000</v>
      </c>
      <c r="E53" s="7">
        <f t="shared" si="1"/>
        <v>225000</v>
      </c>
    </row>
    <row r="54" spans="1:5" ht="15.75">
      <c r="A54" s="5">
        <v>5</v>
      </c>
      <c r="B54" s="6" t="s">
        <v>8</v>
      </c>
      <c r="C54" s="5">
        <v>9</v>
      </c>
      <c r="D54" s="7">
        <v>21000</v>
      </c>
      <c r="E54" s="7">
        <f t="shared" si="1"/>
        <v>189000</v>
      </c>
    </row>
    <row r="55" spans="1:5" ht="15.75">
      <c r="A55" s="5">
        <v>6</v>
      </c>
      <c r="B55" s="6" t="s">
        <v>9</v>
      </c>
      <c r="C55" s="5">
        <v>5</v>
      </c>
      <c r="D55" s="7">
        <v>55000</v>
      </c>
      <c r="E55" s="7">
        <f t="shared" si="1"/>
        <v>275000</v>
      </c>
    </row>
    <row r="56" spans="1:5" ht="15.75">
      <c r="A56" s="5">
        <v>7</v>
      </c>
      <c r="B56" s="6" t="s">
        <v>10</v>
      </c>
      <c r="C56" s="5">
        <v>6</v>
      </c>
      <c r="D56" s="7">
        <v>12000</v>
      </c>
      <c r="E56" s="7">
        <f t="shared" si="1"/>
        <v>72000</v>
      </c>
    </row>
    <row r="57" spans="1:5" ht="15.75">
      <c r="A57" s="5">
        <v>8</v>
      </c>
      <c r="B57" s="6" t="s">
        <v>11</v>
      </c>
      <c r="C57" s="5">
        <v>4</v>
      </c>
      <c r="D57" s="7">
        <v>8000</v>
      </c>
      <c r="E57" s="7">
        <f t="shared" si="1"/>
        <v>32000</v>
      </c>
    </row>
    <row r="58" spans="1:5" ht="15.75">
      <c r="A58" s="5">
        <v>9</v>
      </c>
      <c r="B58" s="6" t="s">
        <v>12</v>
      </c>
      <c r="C58" s="5">
        <v>4</v>
      </c>
      <c r="D58" s="7">
        <v>14000</v>
      </c>
      <c r="E58" s="7">
        <f t="shared" si="1"/>
        <v>56000</v>
      </c>
    </row>
    <row r="59" spans="1:5" ht="15.75">
      <c r="A59" s="5">
        <v>10</v>
      </c>
      <c r="B59" s="6" t="s">
        <v>13</v>
      </c>
      <c r="C59" s="5">
        <v>2</v>
      </c>
      <c r="D59" s="7">
        <v>6000</v>
      </c>
      <c r="E59" s="7">
        <f t="shared" si="1"/>
        <v>12000</v>
      </c>
    </row>
    <row r="60" spans="1:5" ht="15.75">
      <c r="A60" s="5">
        <v>11</v>
      </c>
      <c r="B60" s="6" t="s">
        <v>14</v>
      </c>
      <c r="C60" s="5">
        <v>12</v>
      </c>
      <c r="D60" s="7">
        <v>2000</v>
      </c>
      <c r="E60" s="7">
        <f t="shared" si="1"/>
        <v>24000</v>
      </c>
    </row>
    <row r="61" spans="1:5" ht="15.75">
      <c r="A61" s="5">
        <v>12</v>
      </c>
      <c r="B61" s="6" t="s">
        <v>16</v>
      </c>
      <c r="C61" s="5"/>
      <c r="D61" s="7"/>
      <c r="E61" s="7">
        <f>(E50+E51+E52+E53+E54+E55+E56+E57+E58+E59+E60)*25%</f>
        <v>486000</v>
      </c>
    </row>
    <row r="62" spans="1:5" ht="15.75">
      <c r="A62" s="2"/>
      <c r="B62" s="4" t="s">
        <v>15</v>
      </c>
      <c r="C62" s="2"/>
      <c r="D62" s="3"/>
      <c r="E62" s="3">
        <f>SUM(E50:E61)</f>
        <v>2430000</v>
      </c>
    </row>
  </sheetData>
  <mergeCells count="1">
    <mergeCell ref="A2:E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59"/>
  <sheetViews>
    <sheetView topLeftCell="A31" workbookViewId="0">
      <selection activeCell="G48" sqref="G48"/>
    </sheetView>
  </sheetViews>
  <sheetFormatPr defaultRowHeight="15.75"/>
  <cols>
    <col min="1" max="1" width="3.28515625" style="64" bestFit="1" customWidth="1"/>
    <col min="2" max="2" width="38.28515625" style="73" customWidth="1"/>
    <col min="3" max="4" width="9.140625" style="64"/>
    <col min="5" max="5" width="13.5703125" style="64" bestFit="1" customWidth="1"/>
    <col min="6" max="6" width="12" style="64" customWidth="1"/>
    <col min="7" max="7" width="22.85546875" style="64" customWidth="1"/>
    <col min="8" max="8" width="15.85546875" style="64" customWidth="1"/>
    <col min="9" max="9" width="10.85546875" style="64" bestFit="1" customWidth="1"/>
    <col min="10" max="10" width="10" style="64" bestFit="1" customWidth="1"/>
    <col min="11" max="16384" width="9.140625" style="64"/>
  </cols>
  <sheetData>
    <row r="2" spans="1:8" ht="18.75">
      <c r="B2" s="111" t="s">
        <v>127</v>
      </c>
      <c r="C2" s="111"/>
      <c r="D2" s="111"/>
      <c r="E2" s="111"/>
      <c r="F2" s="111"/>
      <c r="G2" s="111"/>
    </row>
    <row r="3" spans="1:8">
      <c r="A3" s="65" t="s">
        <v>0</v>
      </c>
      <c r="B3" s="66" t="s">
        <v>19</v>
      </c>
      <c r="C3" s="132" t="s">
        <v>20</v>
      </c>
      <c r="D3" s="133"/>
      <c r="E3" s="67" t="s">
        <v>21</v>
      </c>
      <c r="F3" s="67" t="s">
        <v>126</v>
      </c>
      <c r="G3" s="67" t="s">
        <v>22</v>
      </c>
      <c r="H3" s="101"/>
    </row>
    <row r="4" spans="1:8">
      <c r="A4" s="65"/>
      <c r="B4" s="82" t="s">
        <v>57</v>
      </c>
      <c r="C4" s="113"/>
      <c r="D4" s="115"/>
      <c r="E4" s="66"/>
      <c r="F4" s="66"/>
      <c r="G4" s="66"/>
      <c r="H4" s="101"/>
    </row>
    <row r="5" spans="1:8">
      <c r="A5" s="68">
        <v>1</v>
      </c>
      <c r="B5" s="69" t="s">
        <v>69</v>
      </c>
      <c r="C5" s="70" t="s">
        <v>58</v>
      </c>
      <c r="D5" s="70">
        <v>2</v>
      </c>
      <c r="E5" s="28">
        <v>1150</v>
      </c>
      <c r="F5" s="134">
        <f>190*36</f>
        <v>6840</v>
      </c>
      <c r="G5" s="28">
        <f>E5*D5*F5</f>
        <v>15732000</v>
      </c>
      <c r="H5" s="31"/>
    </row>
    <row r="6" spans="1:8">
      <c r="A6" s="68">
        <v>2</v>
      </c>
      <c r="B6" s="69" t="s">
        <v>123</v>
      </c>
      <c r="C6" s="70" t="s">
        <v>124</v>
      </c>
      <c r="D6" s="99">
        <v>50</v>
      </c>
      <c r="E6" s="80">
        <v>20000</v>
      </c>
      <c r="F6" s="135"/>
      <c r="G6" s="28">
        <f>E6*D6/1000*F5</f>
        <v>6840000</v>
      </c>
      <c r="H6" s="31"/>
    </row>
    <row r="7" spans="1:8">
      <c r="A7" s="68">
        <v>3</v>
      </c>
      <c r="B7" s="69" t="s">
        <v>128</v>
      </c>
      <c r="C7" s="70" t="s">
        <v>124</v>
      </c>
      <c r="D7" s="70">
        <v>2</v>
      </c>
      <c r="E7" s="80">
        <v>33000</v>
      </c>
      <c r="F7" s="135"/>
      <c r="G7" s="28">
        <f>E7*D7/1000*F5</f>
        <v>451440</v>
      </c>
      <c r="H7" s="31"/>
    </row>
    <row r="8" spans="1:8">
      <c r="A8" s="68">
        <v>4</v>
      </c>
      <c r="B8" s="69" t="s">
        <v>28</v>
      </c>
      <c r="C8" s="70" t="s">
        <v>124</v>
      </c>
      <c r="D8" s="70">
        <v>250</v>
      </c>
      <c r="E8" s="80">
        <v>2500</v>
      </c>
      <c r="F8" s="135"/>
      <c r="G8" s="28">
        <f>E8*D8/1000*F5</f>
        <v>4275000</v>
      </c>
      <c r="H8" s="31"/>
    </row>
    <row r="9" spans="1:8">
      <c r="A9" s="68">
        <v>5</v>
      </c>
      <c r="B9" s="69" t="s">
        <v>99</v>
      </c>
      <c r="C9" s="70" t="s">
        <v>124</v>
      </c>
      <c r="D9" s="99">
        <v>15</v>
      </c>
      <c r="E9" s="80">
        <v>12500</v>
      </c>
      <c r="F9" s="135"/>
      <c r="G9" s="28">
        <f>E9*D9/1000*F5</f>
        <v>1282500</v>
      </c>
      <c r="H9" s="31"/>
    </row>
    <row r="10" spans="1:8">
      <c r="A10" s="68">
        <v>6</v>
      </c>
      <c r="B10" s="69" t="s">
        <v>106</v>
      </c>
      <c r="C10" s="70" t="s">
        <v>124</v>
      </c>
      <c r="D10" s="99">
        <v>5</v>
      </c>
      <c r="E10" s="80">
        <v>1000</v>
      </c>
      <c r="F10" s="136"/>
      <c r="G10" s="28">
        <f>E10*D10/1000*F5</f>
        <v>34200</v>
      </c>
      <c r="H10" s="31"/>
    </row>
    <row r="11" spans="1:8">
      <c r="A11" s="68"/>
      <c r="B11" s="69"/>
      <c r="C11" s="70"/>
      <c r="D11" s="99"/>
      <c r="E11" s="80"/>
      <c r="F11" s="28"/>
      <c r="G11" s="71">
        <f>SUM(G5:G10)</f>
        <v>28615140</v>
      </c>
      <c r="H11" s="31"/>
    </row>
    <row r="12" spans="1:8">
      <c r="A12" s="68"/>
      <c r="B12" s="82" t="s">
        <v>59</v>
      </c>
      <c r="C12" s="69"/>
      <c r="D12" s="69"/>
      <c r="E12" s="69"/>
      <c r="F12" s="69"/>
      <c r="G12" s="77"/>
      <c r="H12" s="31"/>
    </row>
    <row r="13" spans="1:8">
      <c r="A13" s="68">
        <v>1</v>
      </c>
      <c r="B13" s="69" t="s">
        <v>101</v>
      </c>
      <c r="C13" s="70" t="s">
        <v>124</v>
      </c>
      <c r="D13" s="70">
        <v>50</v>
      </c>
      <c r="E13" s="28">
        <v>56000</v>
      </c>
      <c r="F13" s="134">
        <f>420*36</f>
        <v>15120</v>
      </c>
      <c r="G13" s="28">
        <f>E13*D13/1000*F13</f>
        <v>42336000</v>
      </c>
      <c r="H13" s="31"/>
    </row>
    <row r="14" spans="1:8">
      <c r="A14" s="68">
        <v>2</v>
      </c>
      <c r="B14" s="69" t="s">
        <v>97</v>
      </c>
      <c r="C14" s="70" t="s">
        <v>124</v>
      </c>
      <c r="D14" s="70">
        <v>250</v>
      </c>
      <c r="E14" s="28">
        <v>6500</v>
      </c>
      <c r="F14" s="135"/>
      <c r="G14" s="28">
        <f>E14*D14/1000*F13</f>
        <v>24570000</v>
      </c>
      <c r="H14" s="31"/>
    </row>
    <row r="15" spans="1:8">
      <c r="A15" s="68">
        <v>3</v>
      </c>
      <c r="B15" s="69" t="s">
        <v>123</v>
      </c>
      <c r="C15" s="70" t="s">
        <v>124</v>
      </c>
      <c r="D15" s="70">
        <v>50</v>
      </c>
      <c r="E15" s="28">
        <v>20000</v>
      </c>
      <c r="F15" s="135"/>
      <c r="G15" s="28">
        <f>E15*D15/1000*F13</f>
        <v>15120000</v>
      </c>
      <c r="H15" s="31"/>
    </row>
    <row r="16" spans="1:8">
      <c r="A16" s="68">
        <v>4</v>
      </c>
      <c r="B16" s="69" t="s">
        <v>96</v>
      </c>
      <c r="C16" s="70" t="s">
        <v>124</v>
      </c>
      <c r="D16" s="70">
        <v>150</v>
      </c>
      <c r="E16" s="28">
        <v>2500</v>
      </c>
      <c r="F16" s="135"/>
      <c r="G16" s="28">
        <f>E16*D16/1000*F13</f>
        <v>5670000</v>
      </c>
      <c r="H16" s="31"/>
    </row>
    <row r="17" spans="1:9">
      <c r="A17" s="78">
        <v>5</v>
      </c>
      <c r="B17" s="100" t="s">
        <v>95</v>
      </c>
      <c r="C17" s="70" t="s">
        <v>124</v>
      </c>
      <c r="D17" s="70">
        <v>80</v>
      </c>
      <c r="E17" s="28">
        <v>4000</v>
      </c>
      <c r="F17" s="135"/>
      <c r="G17" s="28">
        <f>E17*D17/1000*F13</f>
        <v>4838400</v>
      </c>
      <c r="H17" s="31"/>
    </row>
    <row r="18" spans="1:9">
      <c r="A18" s="68">
        <v>6</v>
      </c>
      <c r="B18" s="69" t="s">
        <v>106</v>
      </c>
      <c r="C18" s="70" t="s">
        <v>124</v>
      </c>
      <c r="D18" s="99">
        <v>5</v>
      </c>
      <c r="E18" s="80">
        <v>1000</v>
      </c>
      <c r="F18" s="135"/>
      <c r="G18" s="28">
        <f>E18*D18/1000*F13</f>
        <v>75600</v>
      </c>
      <c r="H18" s="31">
        <f>20*F13/1000</f>
        <v>302.39999999999998</v>
      </c>
    </row>
    <row r="19" spans="1:9">
      <c r="A19" s="78">
        <v>7</v>
      </c>
      <c r="B19" s="100" t="s">
        <v>107</v>
      </c>
      <c r="C19" s="70" t="s">
        <v>124</v>
      </c>
      <c r="D19" s="70">
        <v>70</v>
      </c>
      <c r="E19" s="28">
        <v>2500</v>
      </c>
      <c r="F19" s="135"/>
      <c r="G19" s="28">
        <f>E19*D19/1000*F13</f>
        <v>2646000</v>
      </c>
      <c r="H19" s="31"/>
    </row>
    <row r="20" spans="1:9">
      <c r="A20" s="78">
        <v>8</v>
      </c>
      <c r="B20" s="100" t="s">
        <v>109</v>
      </c>
      <c r="C20" s="70" t="s">
        <v>124</v>
      </c>
      <c r="D20" s="70">
        <v>70</v>
      </c>
      <c r="E20" s="28">
        <v>3000</v>
      </c>
      <c r="F20" s="135"/>
      <c r="G20" s="28">
        <f>E20*D20/1000*F13</f>
        <v>3175200</v>
      </c>
      <c r="H20" s="31"/>
    </row>
    <row r="21" spans="1:9">
      <c r="A21" s="78">
        <v>9</v>
      </c>
      <c r="B21" s="100" t="s">
        <v>28</v>
      </c>
      <c r="C21" s="70" t="s">
        <v>124</v>
      </c>
      <c r="D21" s="70">
        <v>250</v>
      </c>
      <c r="E21" s="28">
        <v>2500</v>
      </c>
      <c r="F21" s="135"/>
      <c r="G21" s="28">
        <f>E21*D21/1000*F13</f>
        <v>9450000</v>
      </c>
      <c r="H21" s="31"/>
    </row>
    <row r="22" spans="1:9">
      <c r="A22" s="78">
        <v>10</v>
      </c>
      <c r="B22" s="100" t="s">
        <v>14</v>
      </c>
      <c r="C22" s="70" t="s">
        <v>124</v>
      </c>
      <c r="D22" s="70">
        <v>2</v>
      </c>
      <c r="E22" s="28">
        <v>33000</v>
      </c>
      <c r="F22" s="135"/>
      <c r="G22" s="28">
        <f>E22*D22/1000*F13</f>
        <v>997920</v>
      </c>
      <c r="H22" s="31"/>
    </row>
    <row r="23" spans="1:9">
      <c r="A23" s="78">
        <v>11</v>
      </c>
      <c r="B23" s="100" t="s">
        <v>99</v>
      </c>
      <c r="C23" s="70" t="s">
        <v>124</v>
      </c>
      <c r="D23" s="70">
        <v>15</v>
      </c>
      <c r="E23" s="28">
        <v>12500</v>
      </c>
      <c r="F23" s="136"/>
      <c r="G23" s="28">
        <f>E23*D23/1000*F13</f>
        <v>2835000</v>
      </c>
      <c r="H23" s="31"/>
    </row>
    <row r="24" spans="1:9">
      <c r="A24" s="78"/>
      <c r="B24" s="100"/>
      <c r="C24" s="70"/>
      <c r="D24" s="70"/>
      <c r="E24" s="28"/>
      <c r="F24" s="28"/>
      <c r="G24" s="71">
        <f>SUM(G13:G23)</f>
        <v>111714120</v>
      </c>
      <c r="H24" s="31"/>
    </row>
    <row r="25" spans="1:9" ht="15">
      <c r="A25" s="78"/>
      <c r="B25" s="104" t="s">
        <v>63</v>
      </c>
      <c r="C25" s="68"/>
      <c r="D25" s="68"/>
      <c r="E25" s="68"/>
      <c r="F25" s="68"/>
      <c r="G25" s="72"/>
      <c r="H25" s="31"/>
    </row>
    <row r="26" spans="1:9">
      <c r="A26" s="68">
        <v>1</v>
      </c>
      <c r="B26" s="69" t="s">
        <v>101</v>
      </c>
      <c r="C26" s="70" t="s">
        <v>124</v>
      </c>
      <c r="D26" s="70">
        <v>50</v>
      </c>
      <c r="E26" s="28">
        <v>56000</v>
      </c>
      <c r="F26" s="134">
        <f>36*190</f>
        <v>6840</v>
      </c>
      <c r="G26" s="29">
        <f>E26*D26/1000*F26</f>
        <v>19152000</v>
      </c>
      <c r="H26" s="31"/>
      <c r="I26" s="64">
        <f>6650*2+13650</f>
        <v>26950</v>
      </c>
    </row>
    <row r="27" spans="1:9">
      <c r="A27" s="68">
        <v>2</v>
      </c>
      <c r="B27" s="69" t="s">
        <v>103</v>
      </c>
      <c r="C27" s="70" t="s">
        <v>124</v>
      </c>
      <c r="D27" s="70">
        <v>50</v>
      </c>
      <c r="E27" s="28">
        <v>12000</v>
      </c>
      <c r="F27" s="135"/>
      <c r="G27" s="29">
        <f>E27*D27/1000*F26</f>
        <v>4104000</v>
      </c>
      <c r="H27" s="31"/>
    </row>
    <row r="28" spans="1:9">
      <c r="A28" s="68">
        <v>3</v>
      </c>
      <c r="B28" s="69" t="s">
        <v>104</v>
      </c>
      <c r="C28" s="70" t="s">
        <v>124</v>
      </c>
      <c r="D28" s="70">
        <v>30</v>
      </c>
      <c r="E28" s="28">
        <v>12000</v>
      </c>
      <c r="F28" s="135"/>
      <c r="G28" s="29">
        <f>E28*D28/1000*F26</f>
        <v>2462400</v>
      </c>
      <c r="H28" s="31"/>
    </row>
    <row r="29" spans="1:9">
      <c r="A29" s="68">
        <v>4</v>
      </c>
      <c r="B29" s="69" t="s">
        <v>97</v>
      </c>
      <c r="C29" s="70" t="s">
        <v>124</v>
      </c>
      <c r="D29" s="70">
        <v>100</v>
      </c>
      <c r="E29" s="28">
        <v>6500</v>
      </c>
      <c r="F29" s="135"/>
      <c r="G29" s="29">
        <f>E29*D29/1000*F26</f>
        <v>4446000</v>
      </c>
      <c r="H29" s="31"/>
    </row>
    <row r="30" spans="1:9">
      <c r="A30" s="68">
        <v>5</v>
      </c>
      <c r="B30" s="69" t="s">
        <v>95</v>
      </c>
      <c r="C30" s="70" t="s">
        <v>124</v>
      </c>
      <c r="D30" s="70">
        <v>40</v>
      </c>
      <c r="E30" s="28">
        <v>4000</v>
      </c>
      <c r="F30" s="135"/>
      <c r="G30" s="29">
        <f>E30*D30/1000*F26</f>
        <v>1094400</v>
      </c>
      <c r="H30" s="31"/>
      <c r="I30" s="64">
        <f>395*36</f>
        <v>14220</v>
      </c>
    </row>
    <row r="31" spans="1:9">
      <c r="A31" s="68">
        <v>6</v>
      </c>
      <c r="B31" s="69" t="s">
        <v>96</v>
      </c>
      <c r="C31" s="70" t="s">
        <v>124</v>
      </c>
      <c r="D31" s="70">
        <v>30</v>
      </c>
      <c r="E31" s="28">
        <v>2500</v>
      </c>
      <c r="F31" s="135"/>
      <c r="G31" s="29">
        <f>E31*D31/1000*F26</f>
        <v>513000</v>
      </c>
      <c r="H31" s="31"/>
    </row>
    <row r="32" spans="1:9">
      <c r="A32" s="68">
        <v>7</v>
      </c>
      <c r="B32" s="69" t="s">
        <v>93</v>
      </c>
      <c r="C32" s="70" t="s">
        <v>124</v>
      </c>
      <c r="D32" s="70">
        <v>150</v>
      </c>
      <c r="E32" s="28">
        <v>4500</v>
      </c>
      <c r="F32" s="135"/>
      <c r="G32" s="29">
        <f>E32*D32/1000*F26</f>
        <v>4617000</v>
      </c>
      <c r="H32" s="31"/>
    </row>
    <row r="33" spans="1:9">
      <c r="A33" s="68">
        <v>7</v>
      </c>
      <c r="B33" s="69" t="s">
        <v>123</v>
      </c>
      <c r="C33" s="70" t="s">
        <v>124</v>
      </c>
      <c r="D33" s="70">
        <v>50</v>
      </c>
      <c r="E33" s="28">
        <v>20000</v>
      </c>
      <c r="F33" s="135"/>
      <c r="G33" s="29">
        <f>E33*D33/1000*F26</f>
        <v>6840000</v>
      </c>
      <c r="H33" s="31"/>
    </row>
    <row r="34" spans="1:9">
      <c r="A34" s="68">
        <v>8</v>
      </c>
      <c r="B34" s="69" t="s">
        <v>105</v>
      </c>
      <c r="C34" s="70" t="s">
        <v>124</v>
      </c>
      <c r="D34" s="70">
        <v>10</v>
      </c>
      <c r="E34" s="28">
        <v>21000</v>
      </c>
      <c r="F34" s="135"/>
      <c r="G34" s="29">
        <f>E34*D34/1000*F26</f>
        <v>1436400</v>
      </c>
      <c r="H34" s="31"/>
    </row>
    <row r="35" spans="1:9">
      <c r="A35" s="68">
        <v>9</v>
      </c>
      <c r="B35" s="69" t="s">
        <v>106</v>
      </c>
      <c r="C35" s="70" t="s">
        <v>124</v>
      </c>
      <c r="D35" s="70">
        <v>5</v>
      </c>
      <c r="E35" s="28">
        <v>1000</v>
      </c>
      <c r="F35" s="135"/>
      <c r="G35" s="29">
        <f>E35*D35/1000*F26</f>
        <v>34200</v>
      </c>
      <c r="H35" s="31"/>
    </row>
    <row r="36" spans="1:9">
      <c r="A36" s="68">
        <v>10</v>
      </c>
      <c r="B36" s="69" t="s">
        <v>28</v>
      </c>
      <c r="C36" s="70" t="s">
        <v>124</v>
      </c>
      <c r="D36" s="70">
        <v>200</v>
      </c>
      <c r="E36" s="28">
        <v>2500</v>
      </c>
      <c r="F36" s="135"/>
      <c r="G36" s="29">
        <f>E36*D36/1000*F26</f>
        <v>3420000</v>
      </c>
      <c r="H36" s="31">
        <f>F26*20/1000</f>
        <v>136.80000000000001</v>
      </c>
    </row>
    <row r="37" spans="1:9">
      <c r="A37" s="68">
        <v>11</v>
      </c>
      <c r="B37" s="69" t="s">
        <v>14</v>
      </c>
      <c r="C37" s="70" t="s">
        <v>124</v>
      </c>
      <c r="D37" s="70">
        <v>2</v>
      </c>
      <c r="E37" s="28">
        <v>33000</v>
      </c>
      <c r="F37" s="135"/>
      <c r="G37" s="29">
        <f>E37*D37/1000*F26</f>
        <v>451440</v>
      </c>
      <c r="H37" s="31"/>
    </row>
    <row r="38" spans="1:9">
      <c r="A38" s="68">
        <v>12</v>
      </c>
      <c r="B38" s="69" t="s">
        <v>99</v>
      </c>
      <c r="C38" s="70" t="s">
        <v>124</v>
      </c>
      <c r="D38" s="70">
        <v>15</v>
      </c>
      <c r="E38" s="28">
        <v>12500</v>
      </c>
      <c r="F38" s="136"/>
      <c r="G38" s="29">
        <f>E38*D38/1000*F26</f>
        <v>1282500</v>
      </c>
      <c r="H38" s="31">
        <f>H36*2+H18</f>
        <v>576</v>
      </c>
    </row>
    <row r="39" spans="1:9">
      <c r="A39" s="68"/>
      <c r="B39" s="69"/>
      <c r="C39" s="70"/>
      <c r="D39" s="70"/>
      <c r="E39" s="28"/>
      <c r="F39" s="28"/>
      <c r="G39" s="72">
        <f>SUM(G26:G38)</f>
        <v>49853340</v>
      </c>
      <c r="H39" s="31"/>
    </row>
    <row r="40" spans="1:9">
      <c r="A40" s="68"/>
      <c r="B40" s="69"/>
      <c r="C40" s="70"/>
      <c r="D40" s="70"/>
      <c r="E40" s="28"/>
      <c r="F40" s="28"/>
      <c r="G40" s="72"/>
      <c r="H40" s="31"/>
    </row>
    <row r="41" spans="1:9">
      <c r="A41" s="68"/>
      <c r="B41" s="66" t="s">
        <v>33</v>
      </c>
      <c r="C41" s="67"/>
      <c r="D41" s="67"/>
      <c r="E41" s="71"/>
      <c r="F41" s="71"/>
      <c r="G41" s="72">
        <f>G39+G24+G11</f>
        <v>190182600</v>
      </c>
      <c r="H41" s="102"/>
    </row>
    <row r="42" spans="1:9">
      <c r="A42" s="68"/>
      <c r="B42" s="69" t="s">
        <v>34</v>
      </c>
      <c r="C42" s="70"/>
      <c r="D42" s="70"/>
      <c r="E42" s="28"/>
      <c r="F42" s="28"/>
      <c r="G42" s="29">
        <f>G41*10%</f>
        <v>19018260</v>
      </c>
      <c r="H42" s="31"/>
    </row>
    <row r="43" spans="1:9">
      <c r="A43" s="68"/>
      <c r="B43" s="69"/>
      <c r="C43" s="70"/>
      <c r="D43" s="70"/>
      <c r="E43" s="28"/>
      <c r="F43" s="28"/>
      <c r="G43" s="72">
        <f>G41+G42</f>
        <v>209200860</v>
      </c>
      <c r="H43" s="102"/>
    </row>
    <row r="44" spans="1:9">
      <c r="A44" s="68"/>
      <c r="B44" s="69" t="s">
        <v>35</v>
      </c>
      <c r="C44" s="70"/>
      <c r="D44" s="70"/>
      <c r="E44" s="28"/>
      <c r="F44" s="28"/>
      <c r="G44" s="29">
        <f>G43*15%</f>
        <v>31380129</v>
      </c>
      <c r="H44" s="31"/>
    </row>
    <row r="45" spans="1:9" ht="31.5">
      <c r="A45" s="68"/>
      <c r="B45" s="69" t="s">
        <v>65</v>
      </c>
      <c r="C45" s="70" t="s">
        <v>58</v>
      </c>
      <c r="D45" s="70"/>
      <c r="E45" s="28">
        <v>9600</v>
      </c>
      <c r="F45" s="28">
        <v>2000</v>
      </c>
      <c r="G45" s="29">
        <f>E45*F45</f>
        <v>19200000</v>
      </c>
      <c r="H45" s="31"/>
    </row>
    <row r="46" spans="1:9">
      <c r="A46" s="65"/>
      <c r="B46" s="66" t="s">
        <v>36</v>
      </c>
      <c r="C46" s="67"/>
      <c r="D46" s="67"/>
      <c r="E46" s="71"/>
      <c r="F46" s="71"/>
      <c r="G46" s="72">
        <f>G43+G44+G45</f>
        <v>259780989</v>
      </c>
      <c r="H46" s="102"/>
    </row>
    <row r="47" spans="1:9" ht="15">
      <c r="A47" s="116"/>
      <c r="B47" s="116"/>
      <c r="C47" s="116"/>
      <c r="D47" s="116"/>
      <c r="E47" s="116"/>
      <c r="F47" s="116"/>
      <c r="G47" s="116"/>
      <c r="H47" s="74"/>
    </row>
    <row r="48" spans="1:9" ht="15">
      <c r="A48" s="80"/>
      <c r="B48" s="117"/>
      <c r="C48" s="118"/>
      <c r="D48" s="118"/>
      <c r="E48" s="118"/>
      <c r="F48" s="119"/>
      <c r="G48" s="103">
        <f>G46</f>
        <v>259780989</v>
      </c>
      <c r="H48" s="74"/>
      <c r="I48" s="74"/>
    </row>
    <row r="49" spans="1:8" ht="15">
      <c r="A49" s="79"/>
      <c r="B49" s="79"/>
      <c r="C49" s="79"/>
      <c r="D49" s="79"/>
      <c r="E49" s="79"/>
      <c r="F49" s="79"/>
      <c r="G49" s="79"/>
      <c r="H49" s="74"/>
    </row>
    <row r="51" spans="1:8" ht="18.75">
      <c r="B51" s="75" t="s">
        <v>40</v>
      </c>
      <c r="E51" s="112" t="s">
        <v>55</v>
      </c>
      <c r="F51" s="112"/>
      <c r="G51" s="112"/>
    </row>
    <row r="52" spans="1:8" ht="18.75">
      <c r="B52" s="75" t="s">
        <v>41</v>
      </c>
      <c r="E52" s="112" t="s">
        <v>55</v>
      </c>
      <c r="F52" s="112"/>
      <c r="G52" s="112"/>
    </row>
    <row r="53" spans="1:8" ht="18.75">
      <c r="B53" s="75" t="s">
        <v>42</v>
      </c>
      <c r="E53" s="112" t="s">
        <v>55</v>
      </c>
      <c r="F53" s="112"/>
      <c r="G53" s="112"/>
    </row>
    <row r="54" spans="1:8" ht="18.75">
      <c r="B54" s="75" t="s">
        <v>43</v>
      </c>
      <c r="E54" s="112" t="s">
        <v>55</v>
      </c>
      <c r="F54" s="112"/>
      <c r="G54" s="112"/>
    </row>
    <row r="55" spans="1:8" ht="18.75">
      <c r="B55" s="75" t="s">
        <v>44</v>
      </c>
      <c r="E55" s="112" t="s">
        <v>55</v>
      </c>
      <c r="F55" s="112"/>
      <c r="G55" s="112"/>
    </row>
    <row r="56" spans="1:8" ht="18.75">
      <c r="B56" s="76"/>
      <c r="E56" s="112" t="s">
        <v>55</v>
      </c>
      <c r="F56" s="112"/>
      <c r="G56" s="112"/>
    </row>
    <row r="57" spans="1:8" ht="18.75">
      <c r="B57" s="76"/>
      <c r="F57" s="112"/>
      <c r="G57" s="112"/>
    </row>
    <row r="58" spans="1:8" ht="18.75">
      <c r="B58" s="75" t="s">
        <v>45</v>
      </c>
      <c r="E58" s="112" t="s">
        <v>56</v>
      </c>
      <c r="F58" s="112"/>
      <c r="G58" s="112"/>
    </row>
    <row r="59" spans="1:8" ht="18.75">
      <c r="B59" s="75"/>
    </row>
  </sheetData>
  <mergeCells count="16">
    <mergeCell ref="F26:F38"/>
    <mergeCell ref="B2:G2"/>
    <mergeCell ref="C3:D3"/>
    <mergeCell ref="C4:D4"/>
    <mergeCell ref="F5:F10"/>
    <mergeCell ref="F13:F23"/>
    <mergeCell ref="E55:G55"/>
    <mergeCell ref="E56:G56"/>
    <mergeCell ref="F57:G57"/>
    <mergeCell ref="E58:G58"/>
    <mergeCell ref="A47:G47"/>
    <mergeCell ref="B48:F48"/>
    <mergeCell ref="E51:G51"/>
    <mergeCell ref="E52:G52"/>
    <mergeCell ref="E53:G53"/>
    <mergeCell ref="E54:G54"/>
  </mergeCells>
  <pageMargins left="0.7" right="0.7" top="0.75" bottom="0.75" header="0.3" footer="0.3"/>
  <pageSetup paperSize="9" scale="6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77"/>
  <sheetViews>
    <sheetView topLeftCell="A37" workbookViewId="0">
      <selection activeCell="A2" sqref="A2:F16"/>
    </sheetView>
  </sheetViews>
  <sheetFormatPr defaultRowHeight="15.75"/>
  <cols>
    <col min="1" max="1" width="3.28515625" bestFit="1" customWidth="1"/>
    <col min="2" max="2" width="43.7109375" style="9" customWidth="1"/>
    <col min="4" max="4" width="13.5703125" bestFit="1" customWidth="1"/>
    <col min="5" max="5" width="12" customWidth="1"/>
    <col min="6" max="6" width="22.85546875" customWidth="1"/>
    <col min="7" max="7" width="15.85546875" customWidth="1"/>
    <col min="8" max="8" width="15.85546875" style="36" customWidth="1"/>
    <col min="9" max="9" width="15.85546875" customWidth="1"/>
  </cols>
  <sheetData>
    <row r="2" spans="1:9" ht="39.75" customHeight="1">
      <c r="A2" s="45"/>
      <c r="B2" s="108" t="s">
        <v>54</v>
      </c>
      <c r="C2" s="108"/>
      <c r="D2" s="108"/>
      <c r="E2" s="108"/>
      <c r="F2" s="108"/>
    </row>
    <row r="3" spans="1:9" ht="30">
      <c r="A3" s="47" t="s">
        <v>0</v>
      </c>
      <c r="B3" s="48" t="s">
        <v>19</v>
      </c>
      <c r="C3" s="49" t="s">
        <v>20</v>
      </c>
      <c r="D3" s="49" t="s">
        <v>2</v>
      </c>
      <c r="E3" s="49" t="s">
        <v>21</v>
      </c>
      <c r="F3" s="49" t="s">
        <v>22</v>
      </c>
      <c r="G3" s="30"/>
      <c r="H3" s="37"/>
      <c r="I3" s="30"/>
    </row>
    <row r="4" spans="1:9">
      <c r="A4" s="52">
        <v>1</v>
      </c>
      <c r="B4" s="53" t="s">
        <v>23</v>
      </c>
      <c r="C4" s="54" t="s">
        <v>24</v>
      </c>
      <c r="D4" s="55">
        <v>304</v>
      </c>
      <c r="E4" s="55">
        <v>16000</v>
      </c>
      <c r="F4" s="56">
        <f>D4*E4</f>
        <v>4864000</v>
      </c>
      <c r="G4" s="31">
        <f>F4*15%</f>
        <v>729600</v>
      </c>
      <c r="H4" s="38">
        <f>F4*10%</f>
        <v>486400</v>
      </c>
      <c r="I4" s="31">
        <f>G4+F4</f>
        <v>5593600</v>
      </c>
    </row>
    <row r="5" spans="1:9">
      <c r="A5" s="52">
        <v>2</v>
      </c>
      <c r="B5" s="53" t="s">
        <v>25</v>
      </c>
      <c r="C5" s="54" t="s">
        <v>26</v>
      </c>
      <c r="D5" s="55">
        <f>D21+D37</f>
        <v>102</v>
      </c>
      <c r="E5" s="55">
        <v>8000</v>
      </c>
      <c r="F5" s="56">
        <f t="shared" ref="F5:F10" si="0">D5*E5</f>
        <v>816000</v>
      </c>
      <c r="G5" s="31">
        <f t="shared" ref="G5:G10" si="1">F5*15%</f>
        <v>122400</v>
      </c>
      <c r="H5" s="38"/>
      <c r="I5" s="31">
        <f t="shared" ref="I5:I10" si="2">G5+F5</f>
        <v>938400</v>
      </c>
    </row>
    <row r="6" spans="1:9">
      <c r="A6" s="52">
        <v>3</v>
      </c>
      <c r="B6" s="53" t="s">
        <v>27</v>
      </c>
      <c r="C6" s="54" t="s">
        <v>26</v>
      </c>
      <c r="D6" s="55">
        <f t="shared" ref="D6:D10" si="3">D22+D38</f>
        <v>103</v>
      </c>
      <c r="E6" s="55">
        <v>4000</v>
      </c>
      <c r="F6" s="56">
        <f t="shared" si="0"/>
        <v>412000</v>
      </c>
      <c r="G6" s="31">
        <f t="shared" si="1"/>
        <v>61800</v>
      </c>
      <c r="H6" s="38"/>
      <c r="I6" s="31">
        <f t="shared" si="2"/>
        <v>473800</v>
      </c>
    </row>
    <row r="7" spans="1:9">
      <c r="A7" s="52">
        <v>4</v>
      </c>
      <c r="B7" s="53" t="s">
        <v>28</v>
      </c>
      <c r="C7" s="54" t="s">
        <v>26</v>
      </c>
      <c r="D7" s="55">
        <f t="shared" si="3"/>
        <v>190</v>
      </c>
      <c r="E7" s="55">
        <v>3000</v>
      </c>
      <c r="F7" s="56">
        <f t="shared" si="0"/>
        <v>570000</v>
      </c>
      <c r="G7" s="31">
        <f t="shared" si="1"/>
        <v>85500</v>
      </c>
      <c r="H7" s="38"/>
      <c r="I7" s="31">
        <f t="shared" si="2"/>
        <v>655500</v>
      </c>
    </row>
    <row r="8" spans="1:9">
      <c r="A8" s="52">
        <v>5</v>
      </c>
      <c r="B8" s="53" t="s">
        <v>29</v>
      </c>
      <c r="C8" s="54" t="s">
        <v>26</v>
      </c>
      <c r="D8" s="55">
        <f t="shared" si="3"/>
        <v>304</v>
      </c>
      <c r="E8" s="55">
        <v>3000</v>
      </c>
      <c r="F8" s="56">
        <f t="shared" si="0"/>
        <v>912000</v>
      </c>
      <c r="G8" s="31">
        <f t="shared" si="1"/>
        <v>136800</v>
      </c>
      <c r="H8" s="38"/>
      <c r="I8" s="31">
        <f t="shared" si="2"/>
        <v>1048800</v>
      </c>
    </row>
    <row r="9" spans="1:9">
      <c r="A9" s="52">
        <v>6</v>
      </c>
      <c r="B9" s="53" t="s">
        <v>30</v>
      </c>
      <c r="C9" s="54" t="s">
        <v>26</v>
      </c>
      <c r="D9" s="55">
        <f t="shared" si="3"/>
        <v>304</v>
      </c>
      <c r="E9" s="55">
        <v>3000</v>
      </c>
      <c r="F9" s="56">
        <f t="shared" si="0"/>
        <v>912000</v>
      </c>
      <c r="G9" s="31">
        <f t="shared" si="1"/>
        <v>136800</v>
      </c>
      <c r="H9" s="38"/>
      <c r="I9" s="31">
        <f t="shared" si="2"/>
        <v>1048800</v>
      </c>
    </row>
    <row r="10" spans="1:9">
      <c r="A10" s="52">
        <v>7</v>
      </c>
      <c r="B10" s="53" t="s">
        <v>31</v>
      </c>
      <c r="C10" s="54" t="s">
        <v>32</v>
      </c>
      <c r="D10" s="55">
        <f t="shared" si="3"/>
        <v>151</v>
      </c>
      <c r="E10" s="55">
        <v>2000</v>
      </c>
      <c r="F10" s="56">
        <f t="shared" si="0"/>
        <v>302000</v>
      </c>
      <c r="G10" s="31">
        <f t="shared" si="1"/>
        <v>45300</v>
      </c>
      <c r="H10" s="39"/>
      <c r="I10" s="31">
        <f t="shared" si="2"/>
        <v>347300</v>
      </c>
    </row>
    <row r="11" spans="1:9">
      <c r="A11" s="52"/>
      <c r="B11" s="53"/>
      <c r="C11" s="54"/>
      <c r="D11" s="55"/>
      <c r="E11" s="55"/>
      <c r="F11" s="56"/>
      <c r="G11" s="32"/>
      <c r="H11" s="39"/>
      <c r="I11" s="32"/>
    </row>
    <row r="12" spans="1:9">
      <c r="A12" s="52"/>
      <c r="B12" s="48" t="s">
        <v>33</v>
      </c>
      <c r="C12" s="49"/>
      <c r="D12" s="59"/>
      <c r="E12" s="59"/>
      <c r="F12" s="60">
        <f>F4+F5+F6+F7+F8+F9+F10+F11</f>
        <v>8788000</v>
      </c>
      <c r="G12" s="33">
        <f>F12+F13</f>
        <v>9666800</v>
      </c>
      <c r="H12" s="37">
        <f>G12*15%</f>
        <v>1450020</v>
      </c>
      <c r="I12" s="33">
        <f>H12+G12</f>
        <v>11116820</v>
      </c>
    </row>
    <row r="13" spans="1:9">
      <c r="A13" s="52"/>
      <c r="B13" s="53" t="s">
        <v>34</v>
      </c>
      <c r="C13" s="54"/>
      <c r="D13" s="55"/>
      <c r="E13" s="55"/>
      <c r="F13" s="56">
        <f>F12*10%</f>
        <v>878800</v>
      </c>
      <c r="G13" s="32"/>
      <c r="H13" s="39"/>
      <c r="I13" s="32"/>
    </row>
    <row r="14" spans="1:9">
      <c r="A14" s="52"/>
      <c r="B14" s="53"/>
      <c r="C14" s="54"/>
      <c r="D14" s="55"/>
      <c r="E14" s="55"/>
      <c r="F14" s="60">
        <f>F12+F13</f>
        <v>9666800</v>
      </c>
      <c r="G14" s="33"/>
      <c r="H14" s="37"/>
      <c r="I14" s="33"/>
    </row>
    <row r="15" spans="1:9">
      <c r="A15" s="52"/>
      <c r="B15" s="53" t="s">
        <v>35</v>
      </c>
      <c r="C15" s="54"/>
      <c r="D15" s="55"/>
      <c r="E15" s="55"/>
      <c r="F15" s="56">
        <f>F14*15%</f>
        <v>1450020</v>
      </c>
      <c r="G15" s="32"/>
      <c r="H15" s="39"/>
      <c r="I15" s="32"/>
    </row>
    <row r="16" spans="1:9">
      <c r="A16" s="47"/>
      <c r="B16" s="48" t="s">
        <v>36</v>
      </c>
      <c r="C16" s="49"/>
      <c r="D16" s="59"/>
      <c r="E16" s="59"/>
      <c r="F16" s="60">
        <f>F14+F15</f>
        <v>11116820</v>
      </c>
      <c r="G16" s="35"/>
      <c r="H16" s="37"/>
      <c r="I16" s="33"/>
    </row>
    <row r="17" spans="1:9">
      <c r="D17" s="18"/>
      <c r="E17" s="18"/>
      <c r="F17" s="18"/>
      <c r="G17" s="18"/>
      <c r="I17" s="18"/>
    </row>
    <row r="18" spans="1:9" ht="17.25">
      <c r="B18" s="110" t="s">
        <v>39</v>
      </c>
      <c r="C18" s="110"/>
      <c r="D18" s="110"/>
      <c r="E18" s="110"/>
      <c r="F18" s="110"/>
      <c r="G18" s="34"/>
      <c r="H18" s="40"/>
      <c r="I18" s="34"/>
    </row>
    <row r="19" spans="1:9" ht="30">
      <c r="A19" s="19" t="s">
        <v>0</v>
      </c>
      <c r="B19" s="41" t="s">
        <v>19</v>
      </c>
      <c r="C19" s="20" t="s">
        <v>20</v>
      </c>
      <c r="D19" s="20" t="s">
        <v>2</v>
      </c>
      <c r="E19" s="20" t="s">
        <v>21</v>
      </c>
      <c r="F19" s="20" t="s">
        <v>22</v>
      </c>
      <c r="G19" s="30"/>
      <c r="H19" s="37"/>
      <c r="I19" s="30"/>
    </row>
    <row r="20" spans="1:9">
      <c r="A20" s="21">
        <v>1</v>
      </c>
      <c r="B20" s="42" t="s">
        <v>23</v>
      </c>
      <c r="C20" s="22" t="s">
        <v>24</v>
      </c>
      <c r="D20" s="28">
        <v>207</v>
      </c>
      <c r="E20" s="28">
        <v>16000</v>
      </c>
      <c r="F20" s="29">
        <f>D20*E20</f>
        <v>3312000</v>
      </c>
      <c r="G20" s="31"/>
      <c r="H20" s="38"/>
      <c r="I20" s="31"/>
    </row>
    <row r="21" spans="1:9">
      <c r="A21" s="21">
        <v>2</v>
      </c>
      <c r="B21" s="42" t="s">
        <v>25</v>
      </c>
      <c r="C21" s="22" t="s">
        <v>26</v>
      </c>
      <c r="D21" s="28">
        <v>70</v>
      </c>
      <c r="E21" s="28">
        <v>8000</v>
      </c>
      <c r="F21" s="29">
        <f t="shared" ref="F21:F26" si="4">D21*E21</f>
        <v>560000</v>
      </c>
      <c r="G21" s="31"/>
      <c r="H21" s="38"/>
      <c r="I21" s="31"/>
    </row>
    <row r="22" spans="1:9">
      <c r="A22" s="21">
        <v>3</v>
      </c>
      <c r="B22" s="42" t="s">
        <v>27</v>
      </c>
      <c r="C22" s="22" t="s">
        <v>26</v>
      </c>
      <c r="D22" s="28">
        <v>70</v>
      </c>
      <c r="E22" s="28">
        <v>4000</v>
      </c>
      <c r="F22" s="29">
        <f t="shared" si="4"/>
        <v>280000</v>
      </c>
      <c r="G22" s="31"/>
      <c r="H22" s="38"/>
      <c r="I22" s="31"/>
    </row>
    <row r="23" spans="1:9">
      <c r="A23" s="21">
        <v>4</v>
      </c>
      <c r="B23" s="42" t="s">
        <v>28</v>
      </c>
      <c r="C23" s="22" t="s">
        <v>26</v>
      </c>
      <c r="D23" s="28">
        <v>130</v>
      </c>
      <c r="E23" s="28">
        <v>3000</v>
      </c>
      <c r="F23" s="29">
        <f t="shared" si="4"/>
        <v>390000</v>
      </c>
      <c r="G23" s="31"/>
      <c r="H23" s="38"/>
      <c r="I23" s="31"/>
    </row>
    <row r="24" spans="1:9">
      <c r="A24" s="21">
        <v>5</v>
      </c>
      <c r="B24" s="42" t="s">
        <v>29</v>
      </c>
      <c r="C24" s="22" t="s">
        <v>26</v>
      </c>
      <c r="D24" s="28">
        <v>207</v>
      </c>
      <c r="E24" s="28">
        <v>3000</v>
      </c>
      <c r="F24" s="29">
        <f t="shared" si="4"/>
        <v>621000</v>
      </c>
      <c r="G24" s="31"/>
      <c r="H24" s="38"/>
      <c r="I24" s="31"/>
    </row>
    <row r="25" spans="1:9">
      <c r="A25" s="21">
        <v>6</v>
      </c>
      <c r="B25" s="42" t="s">
        <v>30</v>
      </c>
      <c r="C25" s="22" t="s">
        <v>26</v>
      </c>
      <c r="D25" s="28">
        <v>207</v>
      </c>
      <c r="E25" s="28">
        <v>3000</v>
      </c>
      <c r="F25" s="29">
        <f t="shared" si="4"/>
        <v>621000</v>
      </c>
      <c r="G25" s="31"/>
      <c r="H25" s="38"/>
      <c r="I25" s="31"/>
    </row>
    <row r="26" spans="1:9">
      <c r="A26" s="21">
        <v>7</v>
      </c>
      <c r="B26" s="42" t="s">
        <v>31</v>
      </c>
      <c r="C26" s="22" t="s">
        <v>32</v>
      </c>
      <c r="D26" s="23">
        <v>100</v>
      </c>
      <c r="E26" s="23">
        <v>2000</v>
      </c>
      <c r="F26" s="26">
        <f t="shared" si="4"/>
        <v>200000</v>
      </c>
      <c r="G26" s="32"/>
      <c r="H26" s="39"/>
      <c r="I26" s="32"/>
    </row>
    <row r="27" spans="1:9">
      <c r="A27" s="21"/>
      <c r="B27" s="42"/>
      <c r="C27" s="22"/>
      <c r="D27" s="23"/>
      <c r="E27" s="23"/>
      <c r="F27" s="26"/>
      <c r="G27" s="32"/>
      <c r="H27" s="39"/>
      <c r="I27" s="32"/>
    </row>
    <row r="28" spans="1:9">
      <c r="A28" s="21"/>
      <c r="B28" s="41" t="s">
        <v>33</v>
      </c>
      <c r="C28" s="20"/>
      <c r="D28" s="24"/>
      <c r="E28" s="24"/>
      <c r="F28" s="27">
        <f>F20+F21+F22+F23+F24+F25+F26+F27</f>
        <v>5984000</v>
      </c>
      <c r="G28" s="33"/>
      <c r="H28" s="37"/>
      <c r="I28" s="33"/>
    </row>
    <row r="29" spans="1:9">
      <c r="A29" s="21"/>
      <c r="B29" s="42" t="s">
        <v>34</v>
      </c>
      <c r="C29" s="22"/>
      <c r="D29" s="23"/>
      <c r="E29" s="23"/>
      <c r="F29" s="26">
        <f>F28*10%</f>
        <v>598400</v>
      </c>
      <c r="G29" s="32"/>
      <c r="H29" s="39"/>
      <c r="I29" s="32"/>
    </row>
    <row r="30" spans="1:9">
      <c r="A30" s="21"/>
      <c r="B30" s="42"/>
      <c r="C30" s="22"/>
      <c r="D30" s="23"/>
      <c r="E30" s="23"/>
      <c r="F30" s="27">
        <f>F28+F29</f>
        <v>6582400</v>
      </c>
      <c r="G30" s="33"/>
      <c r="H30" s="37"/>
      <c r="I30" s="33"/>
    </row>
    <row r="31" spans="1:9">
      <c r="A31" s="21"/>
      <c r="B31" s="42" t="s">
        <v>35</v>
      </c>
      <c r="C31" s="22"/>
      <c r="D31" s="23"/>
      <c r="E31" s="23"/>
      <c r="F31" s="26">
        <f>F30*15%</f>
        <v>987360</v>
      </c>
      <c r="G31" s="32"/>
      <c r="H31" s="39"/>
      <c r="I31" s="32"/>
    </row>
    <row r="32" spans="1:9">
      <c r="A32" s="19"/>
      <c r="B32" s="41" t="s">
        <v>36</v>
      </c>
      <c r="C32" s="20"/>
      <c r="D32" s="24"/>
      <c r="E32" s="24"/>
      <c r="F32" s="27">
        <f>F30+F31</f>
        <v>7569760</v>
      </c>
      <c r="G32" s="35">
        <v>207</v>
      </c>
      <c r="H32" s="37">
        <f>F32/G32</f>
        <v>36568.888888888891</v>
      </c>
      <c r="I32" s="33"/>
    </row>
    <row r="33" spans="1:9">
      <c r="D33" s="18"/>
      <c r="E33" s="18"/>
      <c r="F33" s="18"/>
      <c r="G33" s="18"/>
      <c r="I33" s="18"/>
    </row>
    <row r="34" spans="1:9" ht="17.25">
      <c r="B34" s="110" t="s">
        <v>38</v>
      </c>
      <c r="C34" s="110"/>
      <c r="D34" s="110"/>
      <c r="E34" s="110"/>
      <c r="F34" s="110"/>
      <c r="G34" s="34"/>
      <c r="H34" s="40"/>
      <c r="I34" s="34"/>
    </row>
    <row r="35" spans="1:9" ht="30">
      <c r="A35" s="19" t="s">
        <v>0</v>
      </c>
      <c r="B35" s="41" t="s">
        <v>19</v>
      </c>
      <c r="C35" s="20" t="s">
        <v>20</v>
      </c>
      <c r="D35" s="20" t="s">
        <v>2</v>
      </c>
      <c r="E35" s="20" t="s">
        <v>21</v>
      </c>
      <c r="F35" s="20" t="s">
        <v>22</v>
      </c>
      <c r="G35" s="30"/>
      <c r="H35" s="37"/>
      <c r="I35" s="30"/>
    </row>
    <row r="36" spans="1:9">
      <c r="A36" s="21">
        <v>1</v>
      </c>
      <c r="B36" s="42" t="s">
        <v>23</v>
      </c>
      <c r="C36" s="22" t="s">
        <v>24</v>
      </c>
      <c r="D36" s="28">
        <v>97</v>
      </c>
      <c r="E36" s="28">
        <v>16000</v>
      </c>
      <c r="F36" s="29">
        <f>D36*E36</f>
        <v>1552000</v>
      </c>
      <c r="G36" s="31"/>
      <c r="H36" s="38"/>
      <c r="I36" s="31"/>
    </row>
    <row r="37" spans="1:9">
      <c r="A37" s="21">
        <v>2</v>
      </c>
      <c r="B37" s="42" t="s">
        <v>25</v>
      </c>
      <c r="C37" s="22" t="s">
        <v>26</v>
      </c>
      <c r="D37" s="28">
        <v>32</v>
      </c>
      <c r="E37" s="28">
        <v>8000</v>
      </c>
      <c r="F37" s="29">
        <f t="shared" ref="F37:F42" si="5">D37*E37</f>
        <v>256000</v>
      </c>
      <c r="G37" s="31"/>
      <c r="H37" s="38"/>
      <c r="I37" s="31"/>
    </row>
    <row r="38" spans="1:9">
      <c r="A38" s="21">
        <v>3</v>
      </c>
      <c r="B38" s="42" t="s">
        <v>27</v>
      </c>
      <c r="C38" s="22" t="s">
        <v>26</v>
      </c>
      <c r="D38" s="28">
        <v>33</v>
      </c>
      <c r="E38" s="28">
        <v>4000</v>
      </c>
      <c r="F38" s="29">
        <f t="shared" si="5"/>
        <v>132000</v>
      </c>
      <c r="G38" s="31"/>
      <c r="H38" s="38"/>
      <c r="I38" s="31"/>
    </row>
    <row r="39" spans="1:9">
      <c r="A39" s="21">
        <v>4</v>
      </c>
      <c r="B39" s="42" t="s">
        <v>28</v>
      </c>
      <c r="C39" s="22" t="s">
        <v>26</v>
      </c>
      <c r="D39" s="28">
        <v>60</v>
      </c>
      <c r="E39" s="28">
        <v>3000</v>
      </c>
      <c r="F39" s="29">
        <f t="shared" si="5"/>
        <v>180000</v>
      </c>
      <c r="G39" s="31"/>
      <c r="H39" s="38"/>
      <c r="I39" s="31"/>
    </row>
    <row r="40" spans="1:9">
      <c r="A40" s="21">
        <v>5</v>
      </c>
      <c r="B40" s="42" t="s">
        <v>29</v>
      </c>
      <c r="C40" s="22" t="s">
        <v>26</v>
      </c>
      <c r="D40" s="28">
        <v>97</v>
      </c>
      <c r="E40" s="28">
        <v>3000</v>
      </c>
      <c r="F40" s="29">
        <f t="shared" si="5"/>
        <v>291000</v>
      </c>
      <c r="G40" s="31"/>
      <c r="H40" s="38"/>
      <c r="I40" s="31"/>
    </row>
    <row r="41" spans="1:9">
      <c r="A41" s="21">
        <v>6</v>
      </c>
      <c r="B41" s="42" t="s">
        <v>30</v>
      </c>
      <c r="C41" s="22" t="s">
        <v>26</v>
      </c>
      <c r="D41" s="28">
        <v>97</v>
      </c>
      <c r="E41" s="28">
        <v>3000</v>
      </c>
      <c r="F41" s="29">
        <f t="shared" si="5"/>
        <v>291000</v>
      </c>
      <c r="G41" s="31"/>
      <c r="H41" s="38"/>
      <c r="I41" s="31"/>
    </row>
    <row r="42" spans="1:9">
      <c r="A42" s="21">
        <v>7</v>
      </c>
      <c r="B42" s="42" t="s">
        <v>31</v>
      </c>
      <c r="C42" s="22" t="s">
        <v>32</v>
      </c>
      <c r="D42" s="23">
        <v>51</v>
      </c>
      <c r="E42" s="23">
        <v>2000</v>
      </c>
      <c r="F42" s="26">
        <f t="shared" si="5"/>
        <v>102000</v>
      </c>
      <c r="G42" s="32"/>
      <c r="H42" s="39"/>
      <c r="I42" s="32"/>
    </row>
    <row r="43" spans="1:9">
      <c r="A43" s="21"/>
      <c r="B43" s="42"/>
      <c r="C43" s="22"/>
      <c r="D43" s="23"/>
      <c r="E43" s="23"/>
      <c r="F43" s="26"/>
      <c r="G43" s="32"/>
      <c r="H43" s="39"/>
      <c r="I43" s="32"/>
    </row>
    <row r="44" spans="1:9">
      <c r="A44" s="21"/>
      <c r="B44" s="41" t="s">
        <v>33</v>
      </c>
      <c r="C44" s="20"/>
      <c r="D44" s="24"/>
      <c r="E44" s="24"/>
      <c r="F44" s="27">
        <f>F36+F37+F38+F39+F40+F41+F42+F43</f>
        <v>2804000</v>
      </c>
      <c r="G44" s="33"/>
      <c r="H44" s="37"/>
      <c r="I44" s="33"/>
    </row>
    <row r="45" spans="1:9">
      <c r="A45" s="21"/>
      <c r="B45" s="42" t="s">
        <v>34</v>
      </c>
      <c r="C45" s="22"/>
      <c r="D45" s="23"/>
      <c r="E45" s="23"/>
      <c r="F45" s="26">
        <f>F44*10%</f>
        <v>280400</v>
      </c>
      <c r="G45" s="32"/>
      <c r="H45" s="39"/>
      <c r="I45" s="32"/>
    </row>
    <row r="46" spans="1:9">
      <c r="A46" s="21"/>
      <c r="B46" s="42"/>
      <c r="C46" s="22"/>
      <c r="D46" s="23"/>
      <c r="E46" s="23"/>
      <c r="F46" s="27">
        <f>F44+F45</f>
        <v>3084400</v>
      </c>
      <c r="G46" s="33"/>
      <c r="H46" s="37"/>
      <c r="I46" s="33"/>
    </row>
    <row r="47" spans="1:9">
      <c r="A47" s="21"/>
      <c r="B47" s="42" t="s">
        <v>35</v>
      </c>
      <c r="C47" s="22"/>
      <c r="D47" s="23"/>
      <c r="E47" s="23"/>
      <c r="F47" s="26">
        <f>F46*15%</f>
        <v>462660</v>
      </c>
      <c r="G47" s="32"/>
      <c r="H47" s="39"/>
      <c r="I47" s="32"/>
    </row>
    <row r="48" spans="1:9">
      <c r="A48" s="19"/>
      <c r="B48" s="41" t="s">
        <v>36</v>
      </c>
      <c r="C48" s="20"/>
      <c r="D48" s="24"/>
      <c r="E48" s="24"/>
      <c r="F48" s="27">
        <f>F46+F47</f>
        <v>3547060</v>
      </c>
      <c r="G48" s="33">
        <v>97</v>
      </c>
      <c r="H48" s="37">
        <f>F48/G48</f>
        <v>36567.628865979379</v>
      </c>
      <c r="I48" s="33"/>
    </row>
    <row r="50" spans="1:9" ht="18.75">
      <c r="B50" s="43" t="s">
        <v>40</v>
      </c>
      <c r="D50" s="109" t="s">
        <v>46</v>
      </c>
      <c r="E50" s="109"/>
      <c r="F50" s="109"/>
    </row>
    <row r="51" spans="1:9" ht="18.75">
      <c r="B51" s="43" t="s">
        <v>41</v>
      </c>
      <c r="D51" s="109" t="s">
        <v>47</v>
      </c>
      <c r="E51" s="109"/>
      <c r="F51" s="109"/>
    </row>
    <row r="52" spans="1:9" ht="18.75">
      <c r="B52" s="43" t="s">
        <v>42</v>
      </c>
      <c r="D52" s="109" t="s">
        <v>48</v>
      </c>
      <c r="E52" s="109"/>
      <c r="F52" s="109"/>
    </row>
    <row r="53" spans="1:9" ht="18.75">
      <c r="B53" s="43" t="s">
        <v>43</v>
      </c>
      <c r="D53" s="109" t="s">
        <v>49</v>
      </c>
      <c r="E53" s="109"/>
      <c r="F53" s="109"/>
    </row>
    <row r="54" spans="1:9" ht="18.75">
      <c r="B54" s="43" t="s">
        <v>44</v>
      </c>
      <c r="D54" s="109" t="s">
        <v>50</v>
      </c>
      <c r="E54" s="109"/>
      <c r="F54" s="109"/>
    </row>
    <row r="55" spans="1:9" ht="18.75">
      <c r="B55" s="44"/>
      <c r="D55" s="109" t="s">
        <v>51</v>
      </c>
      <c r="E55" s="109"/>
      <c r="F55" s="109"/>
    </row>
    <row r="56" spans="1:9" ht="18.75">
      <c r="B56" s="44"/>
      <c r="E56" s="109"/>
      <c r="F56" s="109"/>
    </row>
    <row r="57" spans="1:9" ht="18.75">
      <c r="B57" s="43" t="s">
        <v>45</v>
      </c>
      <c r="D57" s="109" t="s">
        <v>52</v>
      </c>
      <c r="E57" s="109"/>
      <c r="F57" s="109"/>
    </row>
    <row r="58" spans="1:9" ht="18.75">
      <c r="B58" s="43"/>
    </row>
    <row r="63" spans="1:9" ht="15">
      <c r="B63" s="107" t="s">
        <v>37</v>
      </c>
      <c r="C63" s="107"/>
      <c r="D63" s="107"/>
      <c r="E63" s="107"/>
      <c r="F63" s="107"/>
      <c r="G63" s="34"/>
      <c r="H63" s="40"/>
      <c r="I63" s="34"/>
    </row>
    <row r="64" spans="1:9" ht="30">
      <c r="A64" s="19" t="s">
        <v>0</v>
      </c>
      <c r="B64" s="41" t="s">
        <v>19</v>
      </c>
      <c r="C64" s="20" t="s">
        <v>20</v>
      </c>
      <c r="D64" s="20" t="s">
        <v>2</v>
      </c>
      <c r="E64" s="20" t="s">
        <v>21</v>
      </c>
      <c r="F64" s="20" t="s">
        <v>22</v>
      </c>
    </row>
    <row r="65" spans="1:10">
      <c r="A65" s="21">
        <v>1</v>
      </c>
      <c r="B65" s="42" t="s">
        <v>23</v>
      </c>
      <c r="C65" s="22" t="s">
        <v>24</v>
      </c>
      <c r="D65" s="28">
        <f t="shared" ref="D65:D71" si="6">D20+D36</f>
        <v>304</v>
      </c>
      <c r="E65" s="28">
        <v>16000</v>
      </c>
      <c r="F65" s="29">
        <f>D65*E65</f>
        <v>4864000</v>
      </c>
      <c r="J65" s="25">
        <f>F4-F65</f>
        <v>0</v>
      </c>
    </row>
    <row r="66" spans="1:10">
      <c r="A66" s="21">
        <v>2</v>
      </c>
      <c r="B66" s="42" t="s">
        <v>25</v>
      </c>
      <c r="C66" s="22" t="s">
        <v>26</v>
      </c>
      <c r="D66" s="28">
        <f t="shared" si="6"/>
        <v>102</v>
      </c>
      <c r="E66" s="28">
        <v>8000</v>
      </c>
      <c r="F66" s="29">
        <f t="shared" ref="F66:F71" si="7">D66*E66</f>
        <v>816000</v>
      </c>
      <c r="J66" s="25">
        <f>F66-F5</f>
        <v>0</v>
      </c>
    </row>
    <row r="67" spans="1:10">
      <c r="A67" s="21">
        <v>3</v>
      </c>
      <c r="B67" s="42" t="s">
        <v>27</v>
      </c>
      <c r="C67" s="22" t="s">
        <v>26</v>
      </c>
      <c r="D67" s="28">
        <f t="shared" si="6"/>
        <v>103</v>
      </c>
      <c r="E67" s="28">
        <v>4000</v>
      </c>
      <c r="F67" s="29">
        <f t="shared" si="7"/>
        <v>412000</v>
      </c>
      <c r="J67" s="25">
        <f>F6-F67</f>
        <v>0</v>
      </c>
    </row>
    <row r="68" spans="1:10">
      <c r="A68" s="21">
        <v>4</v>
      </c>
      <c r="B68" s="42" t="s">
        <v>28</v>
      </c>
      <c r="C68" s="22" t="s">
        <v>26</v>
      </c>
      <c r="D68" s="28">
        <f t="shared" si="6"/>
        <v>190</v>
      </c>
      <c r="E68" s="28">
        <v>3000</v>
      </c>
      <c r="F68" s="29">
        <f t="shared" si="7"/>
        <v>570000</v>
      </c>
      <c r="J68" s="25">
        <f>F7-F68</f>
        <v>0</v>
      </c>
    </row>
    <row r="69" spans="1:10">
      <c r="A69" s="21">
        <v>5</v>
      </c>
      <c r="B69" s="42" t="s">
        <v>29</v>
      </c>
      <c r="C69" s="22" t="s">
        <v>26</v>
      </c>
      <c r="D69" s="28">
        <f t="shared" si="6"/>
        <v>304</v>
      </c>
      <c r="E69" s="28">
        <v>3000</v>
      </c>
      <c r="F69" s="29">
        <f t="shared" si="7"/>
        <v>912000</v>
      </c>
      <c r="J69" s="25">
        <f>F8-F69</f>
        <v>0</v>
      </c>
    </row>
    <row r="70" spans="1:10">
      <c r="A70" s="21">
        <v>6</v>
      </c>
      <c r="B70" s="42" t="s">
        <v>30</v>
      </c>
      <c r="C70" s="22" t="s">
        <v>26</v>
      </c>
      <c r="D70" s="28">
        <f t="shared" si="6"/>
        <v>304</v>
      </c>
      <c r="E70" s="28">
        <v>3000</v>
      </c>
      <c r="F70" s="29">
        <f t="shared" si="7"/>
        <v>912000</v>
      </c>
      <c r="J70" s="25">
        <f>F9-F70</f>
        <v>0</v>
      </c>
    </row>
    <row r="71" spans="1:10">
      <c r="A71" s="21">
        <v>7</v>
      </c>
      <c r="B71" s="42" t="s">
        <v>31</v>
      </c>
      <c r="C71" s="22" t="s">
        <v>32</v>
      </c>
      <c r="D71" s="28">
        <f t="shared" si="6"/>
        <v>151</v>
      </c>
      <c r="E71" s="23">
        <v>2000</v>
      </c>
      <c r="F71" s="26">
        <f t="shared" si="7"/>
        <v>302000</v>
      </c>
      <c r="G71" s="32"/>
      <c r="H71" s="39"/>
      <c r="I71" s="32"/>
      <c r="J71" s="25">
        <f>F10-F71</f>
        <v>0</v>
      </c>
    </row>
    <row r="72" spans="1:10">
      <c r="A72" s="21"/>
      <c r="B72" s="42"/>
      <c r="C72" s="22"/>
      <c r="D72" s="23"/>
      <c r="E72" s="23"/>
      <c r="F72" s="26"/>
      <c r="G72" s="32"/>
      <c r="H72" s="39"/>
      <c r="I72" s="32"/>
    </row>
    <row r="73" spans="1:10">
      <c r="A73" s="21"/>
      <c r="B73" s="41" t="s">
        <v>33</v>
      </c>
      <c r="C73" s="20"/>
      <c r="D73" s="24"/>
      <c r="E73" s="24"/>
      <c r="F73" s="27">
        <f>F65+F66+F67+F68+F69+F70+F71+F72</f>
        <v>8788000</v>
      </c>
      <c r="G73" s="33"/>
      <c r="H73" s="37"/>
      <c r="I73" s="33"/>
      <c r="J73" s="25">
        <f>F12-F73</f>
        <v>0</v>
      </c>
    </row>
    <row r="74" spans="1:10">
      <c r="A74" s="21"/>
      <c r="B74" s="42" t="s">
        <v>34</v>
      </c>
      <c r="C74" s="22"/>
      <c r="D74" s="23"/>
      <c r="E74" s="23"/>
      <c r="F74" s="26">
        <f>F73*10%</f>
        <v>878800</v>
      </c>
      <c r="G74" s="32"/>
      <c r="H74" s="39"/>
      <c r="I74" s="32"/>
      <c r="J74" s="25">
        <f>F13-F74</f>
        <v>0</v>
      </c>
    </row>
    <row r="75" spans="1:10">
      <c r="A75" s="21"/>
      <c r="B75" s="42"/>
      <c r="C75" s="22"/>
      <c r="D75" s="23"/>
      <c r="E75" s="23"/>
      <c r="F75" s="27">
        <f>F73+F74</f>
        <v>9666800</v>
      </c>
      <c r="G75" s="33"/>
      <c r="H75" s="37"/>
      <c r="I75" s="33"/>
      <c r="J75" s="25">
        <f>F14-F75</f>
        <v>0</v>
      </c>
    </row>
    <row r="76" spans="1:10">
      <c r="A76" s="21"/>
      <c r="B76" s="42" t="s">
        <v>35</v>
      </c>
      <c r="C76" s="22"/>
      <c r="D76" s="23"/>
      <c r="E76" s="23"/>
      <c r="F76" s="26">
        <f>F75*15%</f>
        <v>1450020</v>
      </c>
      <c r="G76" s="32"/>
      <c r="H76" s="39"/>
      <c r="I76" s="32"/>
      <c r="J76" s="25">
        <f>F15-F76</f>
        <v>0</v>
      </c>
    </row>
    <row r="77" spans="1:10">
      <c r="A77" s="19"/>
      <c r="B77" s="41" t="s">
        <v>36</v>
      </c>
      <c r="C77" s="20"/>
      <c r="D77" s="24"/>
      <c r="E77" s="24"/>
      <c r="F77" s="27">
        <f>F75+F76</f>
        <v>11116820</v>
      </c>
      <c r="G77" s="33"/>
      <c r="H77" s="37"/>
      <c r="I77" s="33"/>
      <c r="J77" s="25">
        <f>F16-F77</f>
        <v>0</v>
      </c>
    </row>
  </sheetData>
  <mergeCells count="12">
    <mergeCell ref="B63:F63"/>
    <mergeCell ref="B2:F2"/>
    <mergeCell ref="E56:F56"/>
    <mergeCell ref="D50:F50"/>
    <mergeCell ref="D51:F51"/>
    <mergeCell ref="D52:F52"/>
    <mergeCell ref="D53:F53"/>
    <mergeCell ref="D54:F54"/>
    <mergeCell ref="D55:F55"/>
    <mergeCell ref="D57:F57"/>
    <mergeCell ref="B18:F18"/>
    <mergeCell ref="B34:F34"/>
  </mergeCells>
  <pageMargins left="0.7" right="0.7" top="0.75" bottom="0.75" header="0.3" footer="0.3"/>
  <pageSetup paperSize="9" scale="54" orientation="portrait" verticalDpi="0" r:id="rId1"/>
  <ignoredErrors>
    <ignoredError sqref="F1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46"/>
  <sheetViews>
    <sheetView topLeftCell="A7" workbookViewId="0">
      <selection sqref="A1:XFD1048576"/>
    </sheetView>
  </sheetViews>
  <sheetFormatPr defaultRowHeight="15.75"/>
  <cols>
    <col min="1" max="1" width="3.28515625" bestFit="1" customWidth="1"/>
    <col min="2" max="2" width="43.7109375" style="9" customWidth="1"/>
    <col min="4" max="4" width="13.5703125" bestFit="1" customWidth="1"/>
    <col min="5" max="5" width="12" customWidth="1"/>
    <col min="6" max="6" width="22.85546875" customWidth="1"/>
    <col min="7" max="7" width="15.85546875" customWidth="1"/>
    <col min="8" max="8" width="15.85546875" style="36" customWidth="1"/>
    <col min="9" max="9" width="15.85546875" customWidth="1"/>
  </cols>
  <sheetData>
    <row r="2" spans="1:9" s="45" customFormat="1" ht="18.75">
      <c r="A2" s="64"/>
      <c r="B2" s="111" t="s">
        <v>53</v>
      </c>
      <c r="C2" s="111"/>
      <c r="D2" s="111"/>
      <c r="E2" s="111"/>
      <c r="F2" s="111"/>
      <c r="H2" s="46"/>
    </row>
    <row r="3" spans="1:9" s="45" customFormat="1" ht="30">
      <c r="A3" s="65" t="s">
        <v>0</v>
      </c>
      <c r="B3" s="66" t="s">
        <v>19</v>
      </c>
      <c r="C3" s="67" t="s">
        <v>20</v>
      </c>
      <c r="D3" s="67" t="s">
        <v>2</v>
      </c>
      <c r="E3" s="67" t="s">
        <v>21</v>
      </c>
      <c r="F3" s="67" t="s">
        <v>22</v>
      </c>
      <c r="G3" s="50"/>
      <c r="H3" s="51"/>
      <c r="I3" s="50"/>
    </row>
    <row r="4" spans="1:9" s="45" customFormat="1">
      <c r="A4" s="68">
        <v>1</v>
      </c>
      <c r="B4" s="69" t="s">
        <v>23</v>
      </c>
      <c r="C4" s="70" t="s">
        <v>24</v>
      </c>
      <c r="D4" s="28">
        <v>52</v>
      </c>
      <c r="E4" s="28">
        <v>16000</v>
      </c>
      <c r="F4" s="29">
        <f>D4*E4</f>
        <v>832000</v>
      </c>
      <c r="G4" s="57">
        <f>F4*15%</f>
        <v>124800</v>
      </c>
      <c r="H4" s="58">
        <f>F4*10%</f>
        <v>83200</v>
      </c>
      <c r="I4" s="57">
        <f>G4+F4</f>
        <v>956800</v>
      </c>
    </row>
    <row r="5" spans="1:9" s="45" customFormat="1">
      <c r="A5" s="68">
        <v>2</v>
      </c>
      <c r="B5" s="69" t="s">
        <v>25</v>
      </c>
      <c r="C5" s="70" t="s">
        <v>26</v>
      </c>
      <c r="D5" s="28">
        <v>18</v>
      </c>
      <c r="E5" s="28">
        <v>8000</v>
      </c>
      <c r="F5" s="29">
        <f t="shared" ref="F5:F10" si="0">D5*E5</f>
        <v>144000</v>
      </c>
      <c r="G5" s="57">
        <f t="shared" ref="G5:G10" si="1">F5*15%</f>
        <v>21600</v>
      </c>
      <c r="H5" s="58"/>
      <c r="I5" s="57">
        <f t="shared" ref="I5:I10" si="2">G5+F5</f>
        <v>165600</v>
      </c>
    </row>
    <row r="6" spans="1:9" s="45" customFormat="1">
      <c r="A6" s="68">
        <v>3</v>
      </c>
      <c r="B6" s="69" t="s">
        <v>27</v>
      </c>
      <c r="C6" s="70" t="s">
        <v>26</v>
      </c>
      <c r="D6" s="28">
        <v>18</v>
      </c>
      <c r="E6" s="28">
        <v>4000</v>
      </c>
      <c r="F6" s="29">
        <f t="shared" si="0"/>
        <v>72000</v>
      </c>
      <c r="G6" s="57">
        <f t="shared" si="1"/>
        <v>10800</v>
      </c>
      <c r="H6" s="58"/>
      <c r="I6" s="57">
        <f t="shared" si="2"/>
        <v>82800</v>
      </c>
    </row>
    <row r="7" spans="1:9" s="45" customFormat="1">
      <c r="A7" s="68">
        <v>4</v>
      </c>
      <c r="B7" s="69" t="s">
        <v>28</v>
      </c>
      <c r="C7" s="70" t="s">
        <v>26</v>
      </c>
      <c r="D7" s="28">
        <v>31</v>
      </c>
      <c r="E7" s="28">
        <v>3000</v>
      </c>
      <c r="F7" s="29">
        <f t="shared" si="0"/>
        <v>93000</v>
      </c>
      <c r="G7" s="57">
        <f t="shared" si="1"/>
        <v>13950</v>
      </c>
      <c r="H7" s="58"/>
      <c r="I7" s="57">
        <f t="shared" si="2"/>
        <v>106950</v>
      </c>
    </row>
    <row r="8" spans="1:9" s="45" customFormat="1">
      <c r="A8" s="68">
        <v>5</v>
      </c>
      <c r="B8" s="69" t="s">
        <v>29</v>
      </c>
      <c r="C8" s="70" t="s">
        <v>26</v>
      </c>
      <c r="D8" s="28">
        <v>52</v>
      </c>
      <c r="E8" s="28">
        <v>3000</v>
      </c>
      <c r="F8" s="29">
        <f t="shared" si="0"/>
        <v>156000</v>
      </c>
      <c r="G8" s="57">
        <f t="shared" si="1"/>
        <v>23400</v>
      </c>
      <c r="H8" s="58"/>
      <c r="I8" s="57">
        <f t="shared" si="2"/>
        <v>179400</v>
      </c>
    </row>
    <row r="9" spans="1:9" s="45" customFormat="1">
      <c r="A9" s="68">
        <v>6</v>
      </c>
      <c r="B9" s="69" t="s">
        <v>30</v>
      </c>
      <c r="C9" s="70" t="s">
        <v>26</v>
      </c>
      <c r="D9" s="28">
        <v>52</v>
      </c>
      <c r="E9" s="28">
        <v>3000</v>
      </c>
      <c r="F9" s="29">
        <f t="shared" si="0"/>
        <v>156000</v>
      </c>
      <c r="G9" s="57">
        <f t="shared" si="1"/>
        <v>23400</v>
      </c>
      <c r="H9" s="58"/>
      <c r="I9" s="57">
        <f t="shared" si="2"/>
        <v>179400</v>
      </c>
    </row>
    <row r="10" spans="1:9" s="45" customFormat="1">
      <c r="A10" s="68">
        <v>7</v>
      </c>
      <c r="B10" s="69" t="s">
        <v>31</v>
      </c>
      <c r="C10" s="70" t="s">
        <v>32</v>
      </c>
      <c r="D10" s="28">
        <v>25</v>
      </c>
      <c r="E10" s="28">
        <v>2000</v>
      </c>
      <c r="F10" s="29">
        <f t="shared" si="0"/>
        <v>50000</v>
      </c>
      <c r="G10" s="57">
        <f t="shared" si="1"/>
        <v>7500</v>
      </c>
      <c r="H10" s="58"/>
      <c r="I10" s="57">
        <f t="shared" si="2"/>
        <v>57500</v>
      </c>
    </row>
    <row r="11" spans="1:9" s="45" customFormat="1">
      <c r="A11" s="68"/>
      <c r="B11" s="69"/>
      <c r="C11" s="70"/>
      <c r="D11" s="28"/>
      <c r="E11" s="28"/>
      <c r="F11" s="29"/>
      <c r="G11" s="57"/>
      <c r="H11" s="58"/>
      <c r="I11" s="57"/>
    </row>
    <row r="12" spans="1:9" s="45" customFormat="1">
      <c r="A12" s="68"/>
      <c r="B12" s="66" t="s">
        <v>33</v>
      </c>
      <c r="C12" s="67"/>
      <c r="D12" s="71"/>
      <c r="E12" s="71"/>
      <c r="F12" s="72">
        <f>F4+F5+F6+F7+F8+F9+F10+F11</f>
        <v>1503000</v>
      </c>
      <c r="G12" s="61">
        <f>F12+F13</f>
        <v>1653300</v>
      </c>
      <c r="H12" s="51">
        <f>G12*15%</f>
        <v>247995</v>
      </c>
      <c r="I12" s="61">
        <f>H12+G12</f>
        <v>1901295</v>
      </c>
    </row>
    <row r="13" spans="1:9" s="45" customFormat="1">
      <c r="A13" s="68"/>
      <c r="B13" s="69" t="s">
        <v>34</v>
      </c>
      <c r="C13" s="70"/>
      <c r="D13" s="28"/>
      <c r="E13" s="28"/>
      <c r="F13" s="29">
        <f>F12*10%</f>
        <v>150300</v>
      </c>
      <c r="G13" s="57"/>
      <c r="H13" s="58"/>
      <c r="I13" s="57"/>
    </row>
    <row r="14" spans="1:9" s="45" customFormat="1">
      <c r="A14" s="68"/>
      <c r="B14" s="69"/>
      <c r="C14" s="70"/>
      <c r="D14" s="28"/>
      <c r="E14" s="28"/>
      <c r="F14" s="72">
        <f>F12+F13</f>
        <v>1653300</v>
      </c>
      <c r="G14" s="61"/>
      <c r="H14" s="51"/>
      <c r="I14" s="61"/>
    </row>
    <row r="15" spans="1:9" s="45" customFormat="1">
      <c r="A15" s="68"/>
      <c r="B15" s="69" t="s">
        <v>35</v>
      </c>
      <c r="C15" s="70"/>
      <c r="D15" s="28"/>
      <c r="E15" s="28"/>
      <c r="F15" s="29">
        <f>F14*15%</f>
        <v>247995</v>
      </c>
      <c r="G15" s="57"/>
      <c r="H15" s="58"/>
      <c r="I15" s="57"/>
    </row>
    <row r="16" spans="1:9" s="45" customFormat="1">
      <c r="A16" s="65"/>
      <c r="B16" s="66" t="s">
        <v>36</v>
      </c>
      <c r="C16" s="67"/>
      <c r="D16" s="71"/>
      <c r="E16" s="71"/>
      <c r="F16" s="72">
        <f>F14+F15</f>
        <v>1901295</v>
      </c>
      <c r="G16" s="62">
        <v>304</v>
      </c>
      <c r="H16" s="51">
        <f>F16/G16</f>
        <v>6254.2598684210525</v>
      </c>
      <c r="I16" s="61"/>
    </row>
    <row r="17" spans="1:9" s="45" customFormat="1">
      <c r="A17" s="64"/>
      <c r="B17" s="73"/>
      <c r="C17" s="64"/>
      <c r="D17" s="74"/>
      <c r="E17" s="74"/>
      <c r="F17" s="74"/>
      <c r="G17" s="63"/>
      <c r="H17" s="46"/>
      <c r="I17" s="63"/>
    </row>
    <row r="18" spans="1:9" s="45" customFormat="1">
      <c r="A18" s="64"/>
      <c r="B18" s="73"/>
      <c r="C18" s="64"/>
      <c r="D18" s="64"/>
      <c r="E18" s="64"/>
      <c r="F18" s="64"/>
      <c r="H18" s="46"/>
    </row>
    <row r="19" spans="1:9" s="45" customFormat="1" ht="18.75">
      <c r="A19" s="64"/>
      <c r="B19" s="75" t="s">
        <v>40</v>
      </c>
      <c r="C19" s="64"/>
      <c r="D19" s="112" t="s">
        <v>46</v>
      </c>
      <c r="E19" s="112"/>
      <c r="F19" s="112"/>
      <c r="H19" s="46"/>
    </row>
    <row r="20" spans="1:9" s="45" customFormat="1" ht="18.75">
      <c r="A20" s="64"/>
      <c r="B20" s="75" t="s">
        <v>41</v>
      </c>
      <c r="C20" s="64"/>
      <c r="D20" s="112" t="s">
        <v>47</v>
      </c>
      <c r="E20" s="112"/>
      <c r="F20" s="112"/>
      <c r="H20" s="46"/>
    </row>
    <row r="21" spans="1:9" s="45" customFormat="1" ht="18.75">
      <c r="A21" s="64"/>
      <c r="B21" s="75" t="s">
        <v>42</v>
      </c>
      <c r="C21" s="64"/>
      <c r="D21" s="112" t="s">
        <v>48</v>
      </c>
      <c r="E21" s="112"/>
      <c r="F21" s="112"/>
      <c r="H21" s="46"/>
    </row>
    <row r="22" spans="1:9" s="45" customFormat="1" ht="18.75">
      <c r="A22" s="64"/>
      <c r="B22" s="75" t="s">
        <v>43</v>
      </c>
      <c r="C22" s="64"/>
      <c r="D22" s="112" t="s">
        <v>49</v>
      </c>
      <c r="E22" s="112"/>
      <c r="F22" s="112"/>
      <c r="H22" s="46"/>
    </row>
    <row r="23" spans="1:9" s="45" customFormat="1" ht="18.75">
      <c r="A23" s="64"/>
      <c r="B23" s="75" t="s">
        <v>44</v>
      </c>
      <c r="C23" s="64"/>
      <c r="D23" s="112" t="s">
        <v>50</v>
      </c>
      <c r="E23" s="112"/>
      <c r="F23" s="112"/>
      <c r="H23" s="46"/>
    </row>
    <row r="24" spans="1:9" s="45" customFormat="1" ht="18.75">
      <c r="A24" s="64"/>
      <c r="B24" s="76"/>
      <c r="C24" s="64"/>
      <c r="D24" s="112" t="s">
        <v>51</v>
      </c>
      <c r="E24" s="112"/>
      <c r="F24" s="112"/>
      <c r="H24" s="46"/>
    </row>
    <row r="25" spans="1:9" s="45" customFormat="1" ht="18.75">
      <c r="A25" s="64"/>
      <c r="B25" s="76"/>
      <c r="C25" s="64"/>
      <c r="D25" s="64"/>
      <c r="E25" s="112"/>
      <c r="F25" s="112"/>
      <c r="H25" s="46"/>
    </row>
    <row r="26" spans="1:9" s="45" customFormat="1" ht="18.75">
      <c r="A26" s="64"/>
      <c r="B26" s="75" t="s">
        <v>45</v>
      </c>
      <c r="C26" s="64"/>
      <c r="D26" s="112" t="s">
        <v>52</v>
      </c>
      <c r="E26" s="112"/>
      <c r="F26" s="112"/>
      <c r="H26" s="46"/>
    </row>
    <row r="27" spans="1:9" ht="18.75">
      <c r="B27" s="43"/>
    </row>
    <row r="32" spans="1:9" ht="15">
      <c r="B32" s="107" t="s">
        <v>37</v>
      </c>
      <c r="C32" s="107"/>
      <c r="D32" s="107"/>
      <c r="E32" s="107"/>
      <c r="F32" s="107"/>
      <c r="G32" s="34"/>
      <c r="H32" s="40"/>
      <c r="I32" s="34"/>
    </row>
    <row r="33" spans="1:10" ht="30">
      <c r="A33" s="19" t="s">
        <v>0</v>
      </c>
      <c r="B33" s="41" t="s">
        <v>19</v>
      </c>
      <c r="C33" s="20" t="s">
        <v>20</v>
      </c>
      <c r="D33" s="20" t="s">
        <v>2</v>
      </c>
      <c r="E33" s="20" t="s">
        <v>21</v>
      </c>
      <c r="F33" s="20" t="s">
        <v>22</v>
      </c>
    </row>
    <row r="34" spans="1:10">
      <c r="A34" s="21">
        <v>1</v>
      </c>
      <c r="B34" s="42" t="s">
        <v>23</v>
      </c>
      <c r="C34" s="22" t="s">
        <v>24</v>
      </c>
      <c r="D34" s="28" t="e">
        <f>#REF!+#REF!</f>
        <v>#REF!</v>
      </c>
      <c r="E34" s="28">
        <v>16000</v>
      </c>
      <c r="F34" s="29" t="e">
        <f>D34*E34</f>
        <v>#REF!</v>
      </c>
      <c r="J34" s="25" t="e">
        <f>F4-F34</f>
        <v>#REF!</v>
      </c>
    </row>
    <row r="35" spans="1:10">
      <c r="A35" s="21">
        <v>2</v>
      </c>
      <c r="B35" s="42" t="s">
        <v>25</v>
      </c>
      <c r="C35" s="22" t="s">
        <v>26</v>
      </c>
      <c r="D35" s="28" t="e">
        <f>#REF!+#REF!</f>
        <v>#REF!</v>
      </c>
      <c r="E35" s="28">
        <v>8000</v>
      </c>
      <c r="F35" s="29" t="e">
        <f t="shared" ref="F35:F40" si="3">D35*E35</f>
        <v>#REF!</v>
      </c>
      <c r="J35" s="25" t="e">
        <f>F35-F5</f>
        <v>#REF!</v>
      </c>
    </row>
    <row r="36" spans="1:10">
      <c r="A36" s="21">
        <v>3</v>
      </c>
      <c r="B36" s="42" t="s">
        <v>27</v>
      </c>
      <c r="C36" s="22" t="s">
        <v>26</v>
      </c>
      <c r="D36" s="28" t="e">
        <f>#REF!+#REF!</f>
        <v>#REF!</v>
      </c>
      <c r="E36" s="28">
        <v>4000</v>
      </c>
      <c r="F36" s="29" t="e">
        <f t="shared" si="3"/>
        <v>#REF!</v>
      </c>
      <c r="J36" s="25" t="e">
        <f>F6-F36</f>
        <v>#REF!</v>
      </c>
    </row>
    <row r="37" spans="1:10">
      <c r="A37" s="21">
        <v>4</v>
      </c>
      <c r="B37" s="42" t="s">
        <v>28</v>
      </c>
      <c r="C37" s="22" t="s">
        <v>26</v>
      </c>
      <c r="D37" s="28" t="e">
        <f>#REF!+#REF!</f>
        <v>#REF!</v>
      </c>
      <c r="E37" s="28">
        <v>3000</v>
      </c>
      <c r="F37" s="29" t="e">
        <f t="shared" si="3"/>
        <v>#REF!</v>
      </c>
      <c r="J37" s="25" t="e">
        <f>F7-F37</f>
        <v>#REF!</v>
      </c>
    </row>
    <row r="38" spans="1:10">
      <c r="A38" s="21">
        <v>5</v>
      </c>
      <c r="B38" s="42" t="s">
        <v>29</v>
      </c>
      <c r="C38" s="22" t="s">
        <v>26</v>
      </c>
      <c r="D38" s="28" t="e">
        <f>#REF!+#REF!</f>
        <v>#REF!</v>
      </c>
      <c r="E38" s="28">
        <v>3000</v>
      </c>
      <c r="F38" s="29" t="e">
        <f t="shared" si="3"/>
        <v>#REF!</v>
      </c>
      <c r="J38" s="25" t="e">
        <f>F8-F38</f>
        <v>#REF!</v>
      </c>
    </row>
    <row r="39" spans="1:10">
      <c r="A39" s="21">
        <v>6</v>
      </c>
      <c r="B39" s="42" t="s">
        <v>30</v>
      </c>
      <c r="C39" s="22" t="s">
        <v>26</v>
      </c>
      <c r="D39" s="28" t="e">
        <f>#REF!+#REF!</f>
        <v>#REF!</v>
      </c>
      <c r="E39" s="28">
        <v>3000</v>
      </c>
      <c r="F39" s="29" t="e">
        <f t="shared" si="3"/>
        <v>#REF!</v>
      </c>
      <c r="J39" s="25" t="e">
        <f>F9-F39</f>
        <v>#REF!</v>
      </c>
    </row>
    <row r="40" spans="1:10">
      <c r="A40" s="21">
        <v>7</v>
      </c>
      <c r="B40" s="42" t="s">
        <v>31</v>
      </c>
      <c r="C40" s="22" t="s">
        <v>32</v>
      </c>
      <c r="D40" s="28" t="e">
        <f>#REF!+#REF!</f>
        <v>#REF!</v>
      </c>
      <c r="E40" s="23">
        <v>2000</v>
      </c>
      <c r="F40" s="26" t="e">
        <f t="shared" si="3"/>
        <v>#REF!</v>
      </c>
      <c r="G40" s="32"/>
      <c r="H40" s="39"/>
      <c r="I40" s="32"/>
      <c r="J40" s="25" t="e">
        <f>F10-F40</f>
        <v>#REF!</v>
      </c>
    </row>
    <row r="41" spans="1:10">
      <c r="A41" s="21"/>
      <c r="B41" s="42"/>
      <c r="C41" s="22"/>
      <c r="D41" s="23"/>
      <c r="E41" s="23"/>
      <c r="F41" s="26"/>
      <c r="G41" s="32"/>
      <c r="H41" s="39"/>
      <c r="I41" s="32"/>
    </row>
    <row r="42" spans="1:10">
      <c r="A42" s="21"/>
      <c r="B42" s="41" t="s">
        <v>33</v>
      </c>
      <c r="C42" s="20"/>
      <c r="D42" s="24"/>
      <c r="E42" s="24"/>
      <c r="F42" s="27" t="e">
        <f>F34+F35+F36+F37+F38+F39+F40+F41</f>
        <v>#REF!</v>
      </c>
      <c r="G42" s="33"/>
      <c r="H42" s="37"/>
      <c r="I42" s="33"/>
      <c r="J42" s="25" t="e">
        <f>F12-F42</f>
        <v>#REF!</v>
      </c>
    </row>
    <row r="43" spans="1:10">
      <c r="A43" s="21"/>
      <c r="B43" s="42" t="s">
        <v>34</v>
      </c>
      <c r="C43" s="22"/>
      <c r="D43" s="23"/>
      <c r="E43" s="23"/>
      <c r="F43" s="26" t="e">
        <f>F42*10%</f>
        <v>#REF!</v>
      </c>
      <c r="G43" s="32"/>
      <c r="H43" s="39"/>
      <c r="I43" s="32"/>
      <c r="J43" s="25" t="e">
        <f>F13-F43</f>
        <v>#REF!</v>
      </c>
    </row>
    <row r="44" spans="1:10">
      <c r="A44" s="21"/>
      <c r="B44" s="42"/>
      <c r="C44" s="22"/>
      <c r="D44" s="23"/>
      <c r="E44" s="23"/>
      <c r="F44" s="27" t="e">
        <f>F42+F43</f>
        <v>#REF!</v>
      </c>
      <c r="G44" s="33"/>
      <c r="H44" s="37"/>
      <c r="I44" s="33"/>
      <c r="J44" s="25" t="e">
        <f>F14-F44</f>
        <v>#REF!</v>
      </c>
    </row>
    <row r="45" spans="1:10">
      <c r="A45" s="21"/>
      <c r="B45" s="42" t="s">
        <v>35</v>
      </c>
      <c r="C45" s="22"/>
      <c r="D45" s="23"/>
      <c r="E45" s="23"/>
      <c r="F45" s="26" t="e">
        <f>F44*15%</f>
        <v>#REF!</v>
      </c>
      <c r="G45" s="32"/>
      <c r="H45" s="39"/>
      <c r="I45" s="32"/>
      <c r="J45" s="25" t="e">
        <f>F15-F45</f>
        <v>#REF!</v>
      </c>
    </row>
    <row r="46" spans="1:10">
      <c r="A46" s="19"/>
      <c r="B46" s="41" t="s">
        <v>36</v>
      </c>
      <c r="C46" s="20"/>
      <c r="D46" s="24"/>
      <c r="E46" s="24"/>
      <c r="F46" s="27" t="e">
        <f>F44+F45</f>
        <v>#REF!</v>
      </c>
      <c r="G46" s="33"/>
      <c r="H46" s="37"/>
      <c r="I46" s="33"/>
      <c r="J46" s="25" t="e">
        <f>F16-F46</f>
        <v>#REF!</v>
      </c>
    </row>
  </sheetData>
  <mergeCells count="10">
    <mergeCell ref="B32:F32"/>
    <mergeCell ref="B2:F2"/>
    <mergeCell ref="D19:F19"/>
    <mergeCell ref="D20:F20"/>
    <mergeCell ref="D21:F21"/>
    <mergeCell ref="D22:F22"/>
    <mergeCell ref="D23:F23"/>
    <mergeCell ref="D24:F24"/>
    <mergeCell ref="E25:F25"/>
    <mergeCell ref="D26:F26"/>
  </mergeCells>
  <pageMargins left="0.7" right="0.7" top="0.75" bottom="0.75" header="0.3" footer="0.3"/>
  <pageSetup paperSize="9" scale="5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36"/>
  <sheetViews>
    <sheetView topLeftCell="A4" workbookViewId="0">
      <selection sqref="A1:XFD1048576"/>
    </sheetView>
  </sheetViews>
  <sheetFormatPr defaultRowHeight="15.75"/>
  <cols>
    <col min="1" max="1" width="3.28515625" bestFit="1" customWidth="1"/>
    <col min="2" max="2" width="43.7109375" style="9" customWidth="1"/>
    <col min="4" max="4" width="13.5703125" bestFit="1" customWidth="1"/>
    <col min="5" max="5" width="12" customWidth="1"/>
    <col min="6" max="6" width="22.85546875" customWidth="1"/>
    <col min="7" max="7" width="15.85546875" customWidth="1"/>
    <col min="8" max="8" width="17" style="36" bestFit="1" customWidth="1"/>
    <col min="9" max="9" width="15.85546875" customWidth="1"/>
    <col min="10" max="10" width="10.85546875" bestFit="1" customWidth="1"/>
  </cols>
  <sheetData>
    <row r="2" spans="1:9" s="45" customFormat="1" ht="18.75">
      <c r="A2" s="64"/>
      <c r="B2" s="111" t="s">
        <v>66</v>
      </c>
      <c r="C2" s="111"/>
      <c r="D2" s="111"/>
      <c r="E2" s="111"/>
      <c r="F2" s="111"/>
      <c r="H2" s="46"/>
    </row>
    <row r="3" spans="1:9" s="45" customFormat="1" ht="30">
      <c r="A3" s="65" t="s">
        <v>0</v>
      </c>
      <c r="B3" s="66" t="s">
        <v>19</v>
      </c>
      <c r="C3" s="67" t="s">
        <v>20</v>
      </c>
      <c r="D3" s="67" t="s">
        <v>2</v>
      </c>
      <c r="E3" s="67" t="s">
        <v>21</v>
      </c>
      <c r="F3" s="67" t="s">
        <v>22</v>
      </c>
      <c r="G3" s="50"/>
      <c r="H3" s="51"/>
      <c r="I3" s="50"/>
    </row>
    <row r="4" spans="1:9" s="45" customFormat="1">
      <c r="A4" s="65"/>
      <c r="B4" s="113" t="s">
        <v>57</v>
      </c>
      <c r="C4" s="114"/>
      <c r="D4" s="114"/>
      <c r="E4" s="114"/>
      <c r="F4" s="115"/>
      <c r="G4" s="50"/>
      <c r="H4" s="51"/>
      <c r="I4" s="50"/>
    </row>
    <row r="5" spans="1:9" s="45" customFormat="1">
      <c r="A5" s="68">
        <v>1</v>
      </c>
      <c r="B5" s="69" t="s">
        <v>69</v>
      </c>
      <c r="C5" s="70" t="s">
        <v>58</v>
      </c>
      <c r="D5" s="28">
        <f>2*260</f>
        <v>520</v>
      </c>
      <c r="E5" s="28">
        <v>3000</v>
      </c>
      <c r="F5" s="29">
        <f>D5*E5</f>
        <v>1560000</v>
      </c>
      <c r="G5" s="57">
        <f>F5*15%</f>
        <v>234000</v>
      </c>
      <c r="H5" s="58">
        <f>F5*10%</f>
        <v>156000</v>
      </c>
      <c r="I5" s="57">
        <f>G5+F5</f>
        <v>1794000</v>
      </c>
    </row>
    <row r="6" spans="1:9" s="45" customFormat="1">
      <c r="A6" s="68"/>
      <c r="B6" s="69" t="s">
        <v>31</v>
      </c>
      <c r="C6" s="70" t="s">
        <v>60</v>
      </c>
      <c r="D6" s="80">
        <f>0.5*260</f>
        <v>130</v>
      </c>
      <c r="E6" s="28">
        <v>3000</v>
      </c>
      <c r="F6" s="29">
        <f t="shared" ref="F6:F16" si="0">D6*E6</f>
        <v>390000</v>
      </c>
      <c r="G6" s="57"/>
      <c r="H6" s="58"/>
      <c r="I6" s="57"/>
    </row>
    <row r="7" spans="1:9" s="45" customFormat="1">
      <c r="A7" s="68">
        <v>5</v>
      </c>
      <c r="B7" s="69" t="s">
        <v>70</v>
      </c>
      <c r="C7" s="70" t="s">
        <v>58</v>
      </c>
      <c r="D7" s="80">
        <f>0.5*260</f>
        <v>130</v>
      </c>
      <c r="E7" s="28">
        <v>3000</v>
      </c>
      <c r="F7" s="29">
        <f t="shared" si="0"/>
        <v>390000</v>
      </c>
      <c r="G7" s="57">
        <f t="shared" ref="G7:G17" si="1">F7*15%</f>
        <v>58500</v>
      </c>
      <c r="H7" s="58">
        <f t="shared" ref="H7:H17" si="2">F7*10%</f>
        <v>39000</v>
      </c>
      <c r="I7" s="57">
        <f t="shared" ref="I7:I17" si="3">G7+F7</f>
        <v>448500</v>
      </c>
    </row>
    <row r="8" spans="1:9" s="45" customFormat="1">
      <c r="A8" s="68"/>
      <c r="B8" s="82" t="s">
        <v>59</v>
      </c>
      <c r="C8" s="69"/>
      <c r="D8" s="69"/>
      <c r="E8" s="69"/>
      <c r="F8" s="77">
        <f>SUM(F5:F7)</f>
        <v>2340000</v>
      </c>
      <c r="G8" s="57">
        <f t="shared" si="1"/>
        <v>351000</v>
      </c>
      <c r="H8" s="58">
        <f t="shared" si="2"/>
        <v>234000</v>
      </c>
      <c r="I8" s="57">
        <f t="shared" si="3"/>
        <v>2691000</v>
      </c>
    </row>
    <row r="9" spans="1:9" s="45" customFormat="1">
      <c r="A9" s="68">
        <v>6</v>
      </c>
      <c r="B9" s="69" t="s">
        <v>61</v>
      </c>
      <c r="C9" s="70" t="s">
        <v>62</v>
      </c>
      <c r="D9" s="28">
        <f>1*600</f>
        <v>600</v>
      </c>
      <c r="E9" s="28">
        <v>16000</v>
      </c>
      <c r="F9" s="29">
        <f t="shared" si="0"/>
        <v>9600000</v>
      </c>
      <c r="G9" s="57">
        <f t="shared" si="1"/>
        <v>1440000</v>
      </c>
      <c r="H9" s="58">
        <f t="shared" si="2"/>
        <v>960000</v>
      </c>
      <c r="I9" s="57">
        <f t="shared" si="3"/>
        <v>11040000</v>
      </c>
    </row>
    <row r="10" spans="1:9" s="45" customFormat="1">
      <c r="A10" s="68">
        <v>7</v>
      </c>
      <c r="B10" s="69" t="s">
        <v>31</v>
      </c>
      <c r="C10" s="70" t="s">
        <v>32</v>
      </c>
      <c r="D10" s="28">
        <f>0.5*600</f>
        <v>300</v>
      </c>
      <c r="E10" s="28">
        <v>3000</v>
      </c>
      <c r="F10" s="29">
        <f t="shared" si="0"/>
        <v>900000</v>
      </c>
      <c r="G10" s="57">
        <f t="shared" si="1"/>
        <v>135000</v>
      </c>
      <c r="H10" s="58">
        <f t="shared" si="2"/>
        <v>90000</v>
      </c>
      <c r="I10" s="57">
        <f t="shared" si="3"/>
        <v>1035000</v>
      </c>
    </row>
    <row r="11" spans="1:9" s="45" customFormat="1">
      <c r="A11" s="68">
        <v>8</v>
      </c>
      <c r="B11" s="69" t="s">
        <v>71</v>
      </c>
      <c r="C11" s="70" t="s">
        <v>58</v>
      </c>
      <c r="D11" s="28">
        <v>600</v>
      </c>
      <c r="E11" s="28">
        <v>3000</v>
      </c>
      <c r="F11" s="29">
        <f t="shared" si="0"/>
        <v>1800000</v>
      </c>
      <c r="G11" s="57">
        <f t="shared" si="1"/>
        <v>270000</v>
      </c>
      <c r="H11" s="58">
        <f t="shared" si="2"/>
        <v>180000</v>
      </c>
      <c r="I11" s="57">
        <f t="shared" si="3"/>
        <v>2070000</v>
      </c>
    </row>
    <row r="12" spans="1:9" s="45" customFormat="1">
      <c r="A12" s="68">
        <v>9</v>
      </c>
      <c r="B12" s="69" t="s">
        <v>70</v>
      </c>
      <c r="C12" s="70" t="s">
        <v>58</v>
      </c>
      <c r="D12" s="28">
        <f>0.5*600</f>
        <v>300</v>
      </c>
      <c r="E12" s="28">
        <v>3000</v>
      </c>
      <c r="F12" s="29">
        <f t="shared" si="0"/>
        <v>900000</v>
      </c>
      <c r="G12" s="57">
        <f t="shared" si="1"/>
        <v>135000</v>
      </c>
      <c r="H12" s="58">
        <f t="shared" si="2"/>
        <v>90000</v>
      </c>
      <c r="I12" s="57">
        <f t="shared" si="3"/>
        <v>1035000</v>
      </c>
    </row>
    <row r="13" spans="1:9" s="45" customFormat="1" ht="15.75" customHeight="1">
      <c r="A13" s="78"/>
      <c r="B13" s="83" t="s">
        <v>63</v>
      </c>
      <c r="C13" s="68"/>
      <c r="D13" s="68"/>
      <c r="E13" s="68"/>
      <c r="F13" s="72">
        <f>SUM(F9:F12)</f>
        <v>13200000</v>
      </c>
      <c r="G13" s="57">
        <f t="shared" si="1"/>
        <v>1980000</v>
      </c>
      <c r="H13" s="58">
        <f t="shared" si="2"/>
        <v>1320000</v>
      </c>
      <c r="I13" s="57">
        <f t="shared" si="3"/>
        <v>15180000</v>
      </c>
    </row>
    <row r="14" spans="1:9" s="45" customFormat="1">
      <c r="A14" s="68">
        <v>11</v>
      </c>
      <c r="B14" s="69" t="s">
        <v>64</v>
      </c>
      <c r="C14" s="70" t="s">
        <v>24</v>
      </c>
      <c r="D14" s="28">
        <f>260*1</f>
        <v>260</v>
      </c>
      <c r="E14" s="28">
        <v>15000</v>
      </c>
      <c r="F14" s="29">
        <f t="shared" si="0"/>
        <v>3900000</v>
      </c>
      <c r="G14" s="57">
        <f t="shared" si="1"/>
        <v>585000</v>
      </c>
      <c r="H14" s="58">
        <f t="shared" si="2"/>
        <v>390000</v>
      </c>
      <c r="I14" s="57">
        <f t="shared" si="3"/>
        <v>4485000</v>
      </c>
    </row>
    <row r="15" spans="1:9" s="45" customFormat="1">
      <c r="A15" s="68">
        <v>12</v>
      </c>
      <c r="B15" s="69" t="s">
        <v>70</v>
      </c>
      <c r="C15" s="70" t="s">
        <v>26</v>
      </c>
      <c r="D15" s="28">
        <f>0.5*260</f>
        <v>130</v>
      </c>
      <c r="E15" s="28">
        <v>3000</v>
      </c>
      <c r="F15" s="29">
        <f t="shared" si="0"/>
        <v>390000</v>
      </c>
      <c r="G15" s="57">
        <f t="shared" si="1"/>
        <v>58500</v>
      </c>
      <c r="H15" s="58">
        <f t="shared" si="2"/>
        <v>39000</v>
      </c>
      <c r="I15" s="57">
        <f t="shared" si="3"/>
        <v>448500</v>
      </c>
    </row>
    <row r="16" spans="1:9" s="45" customFormat="1">
      <c r="A16" s="68"/>
      <c r="B16" s="69" t="s">
        <v>31</v>
      </c>
      <c r="C16" s="70" t="s">
        <v>32</v>
      </c>
      <c r="D16" s="28">
        <f>0.5*260</f>
        <v>130</v>
      </c>
      <c r="E16" s="28">
        <v>3000</v>
      </c>
      <c r="F16" s="29">
        <f t="shared" si="0"/>
        <v>390000</v>
      </c>
      <c r="G16" s="57">
        <f t="shared" si="1"/>
        <v>58500</v>
      </c>
      <c r="H16" s="58">
        <f t="shared" si="2"/>
        <v>39000</v>
      </c>
      <c r="I16" s="57">
        <f t="shared" si="3"/>
        <v>448500</v>
      </c>
    </row>
    <row r="17" spans="1:11" s="45" customFormat="1">
      <c r="A17" s="68"/>
      <c r="B17" s="69"/>
      <c r="C17" s="70"/>
      <c r="D17" s="28"/>
      <c r="E17" s="28"/>
      <c r="F17" s="72">
        <f>SUM(F14:F16)</f>
        <v>4680000</v>
      </c>
      <c r="G17" s="57">
        <f t="shared" si="1"/>
        <v>702000</v>
      </c>
      <c r="H17" s="58">
        <f t="shared" si="2"/>
        <v>468000</v>
      </c>
      <c r="I17" s="57">
        <f t="shared" si="3"/>
        <v>5382000</v>
      </c>
    </row>
    <row r="18" spans="1:11" s="45" customFormat="1">
      <c r="A18" s="68"/>
      <c r="B18" s="66" t="s">
        <v>33</v>
      </c>
      <c r="C18" s="67"/>
      <c r="D18" s="71"/>
      <c r="E18" s="71"/>
      <c r="F18" s="72">
        <f>F17+F13+F8</f>
        <v>20220000</v>
      </c>
      <c r="G18" s="61">
        <f>F18+F19</f>
        <v>22242000</v>
      </c>
      <c r="H18" s="51">
        <f>G18*15%</f>
        <v>3336300</v>
      </c>
      <c r="I18" s="61">
        <f>H18+G18</f>
        <v>25578300</v>
      </c>
      <c r="K18" s="45">
        <f>322918000/19</f>
        <v>16995684.210526317</v>
      </c>
    </row>
    <row r="19" spans="1:11" s="45" customFormat="1">
      <c r="A19" s="68"/>
      <c r="B19" s="69" t="s">
        <v>34</v>
      </c>
      <c r="C19" s="70"/>
      <c r="D19" s="28"/>
      <c r="E19" s="28"/>
      <c r="F19" s="29">
        <f>F18*10%</f>
        <v>2022000</v>
      </c>
      <c r="G19" s="57"/>
      <c r="H19" s="58"/>
      <c r="I19" s="57"/>
    </row>
    <row r="20" spans="1:11" s="45" customFormat="1">
      <c r="A20" s="68"/>
      <c r="B20" s="69"/>
      <c r="C20" s="70"/>
      <c r="D20" s="28"/>
      <c r="E20" s="28"/>
      <c r="F20" s="72">
        <f>F18+F19</f>
        <v>22242000</v>
      </c>
      <c r="G20" s="61"/>
      <c r="H20" s="51"/>
      <c r="I20" s="61"/>
    </row>
    <row r="21" spans="1:11" s="45" customFormat="1">
      <c r="A21" s="68"/>
      <c r="B21" s="69" t="s">
        <v>35</v>
      </c>
      <c r="C21" s="70"/>
      <c r="D21" s="28"/>
      <c r="E21" s="28"/>
      <c r="F21" s="29">
        <f>F20*15%</f>
        <v>3336300</v>
      </c>
      <c r="G21" s="57"/>
      <c r="H21" s="58"/>
      <c r="I21" s="57"/>
    </row>
    <row r="22" spans="1:11" s="45" customFormat="1">
      <c r="A22" s="68"/>
      <c r="B22" s="69" t="s">
        <v>65</v>
      </c>
      <c r="C22" s="70" t="s">
        <v>58</v>
      </c>
      <c r="D22" s="28">
        <v>860</v>
      </c>
      <c r="E22" s="28">
        <v>2000</v>
      </c>
      <c r="F22" s="29">
        <f t="shared" ref="F22" si="4">D22*E22</f>
        <v>1720000</v>
      </c>
      <c r="G22" s="57"/>
      <c r="H22" s="58"/>
      <c r="I22" s="57"/>
    </row>
    <row r="23" spans="1:11" s="45" customFormat="1">
      <c r="A23" s="65"/>
      <c r="B23" s="66" t="s">
        <v>36</v>
      </c>
      <c r="C23" s="67"/>
      <c r="D23" s="71"/>
      <c r="E23" s="71"/>
      <c r="F23" s="72">
        <f>F20+F21+F22</f>
        <v>27298300</v>
      </c>
      <c r="G23" s="62"/>
      <c r="H23" s="51"/>
      <c r="I23" s="61"/>
    </row>
    <row r="24" spans="1:11" s="45" customFormat="1" ht="15.75" customHeight="1">
      <c r="A24" s="116" t="s">
        <v>67</v>
      </c>
      <c r="B24" s="116"/>
      <c r="C24" s="116"/>
      <c r="D24" s="116"/>
      <c r="E24" s="116"/>
      <c r="F24" s="116"/>
      <c r="G24" s="63"/>
      <c r="H24" s="46"/>
      <c r="I24" s="63"/>
    </row>
    <row r="25" spans="1:11" s="45" customFormat="1" ht="15.75" customHeight="1">
      <c r="A25" s="80"/>
      <c r="B25" s="117" t="s">
        <v>68</v>
      </c>
      <c r="C25" s="118"/>
      <c r="D25" s="118"/>
      <c r="E25" s="119"/>
      <c r="F25" s="81">
        <v>245684700</v>
      </c>
      <c r="G25" s="63">
        <f>F23*5</f>
        <v>136491500</v>
      </c>
      <c r="H25" s="46">
        <f>G25+F25</f>
        <v>382176200</v>
      </c>
      <c r="I25" s="63">
        <f>F25+'[1]Акшолак   '!$O$2395</f>
        <v>245684700</v>
      </c>
      <c r="J25" s="63">
        <f>I25+[1]Лабаротория!$F$1049</f>
        <v>292558000</v>
      </c>
    </row>
    <row r="26" spans="1:11" s="45" customFormat="1" ht="15.75" customHeight="1">
      <c r="A26" s="79"/>
      <c r="B26" s="79"/>
      <c r="C26" s="79"/>
      <c r="D26" s="79"/>
      <c r="E26" s="79"/>
      <c r="F26" s="79"/>
      <c r="G26" s="63"/>
      <c r="H26" s="46"/>
      <c r="I26" s="63"/>
    </row>
    <row r="27" spans="1:11" s="45" customFormat="1">
      <c r="A27" s="64"/>
      <c r="B27" s="73"/>
      <c r="C27" s="64"/>
      <c r="D27" s="64"/>
      <c r="E27" s="64"/>
      <c r="F27" s="64"/>
      <c r="H27" s="46"/>
    </row>
    <row r="28" spans="1:11" s="45" customFormat="1" ht="18.75">
      <c r="A28" s="64"/>
      <c r="B28" s="75" t="s">
        <v>40</v>
      </c>
      <c r="C28" s="64"/>
      <c r="D28" s="112" t="s">
        <v>55</v>
      </c>
      <c r="E28" s="112"/>
      <c r="F28" s="112"/>
      <c r="H28" s="46"/>
    </row>
    <row r="29" spans="1:11" s="45" customFormat="1" ht="18.75">
      <c r="A29" s="64"/>
      <c r="B29" s="75" t="s">
        <v>41</v>
      </c>
      <c r="C29" s="64"/>
      <c r="D29" s="112" t="s">
        <v>55</v>
      </c>
      <c r="E29" s="112"/>
      <c r="F29" s="112"/>
      <c r="H29" s="46"/>
    </row>
    <row r="30" spans="1:11" s="45" customFormat="1" ht="18.75">
      <c r="A30" s="64"/>
      <c r="B30" s="75" t="s">
        <v>42</v>
      </c>
      <c r="C30" s="64"/>
      <c r="D30" s="112" t="s">
        <v>55</v>
      </c>
      <c r="E30" s="112"/>
      <c r="F30" s="112"/>
      <c r="H30" s="46"/>
    </row>
    <row r="31" spans="1:11" s="45" customFormat="1" ht="18.75">
      <c r="A31" s="64"/>
      <c r="B31" s="75" t="s">
        <v>43</v>
      </c>
      <c r="C31" s="64"/>
      <c r="D31" s="112" t="s">
        <v>55</v>
      </c>
      <c r="E31" s="112"/>
      <c r="F31" s="112"/>
      <c r="H31" s="46"/>
    </row>
    <row r="32" spans="1:11" s="45" customFormat="1" ht="18.75">
      <c r="A32" s="64"/>
      <c r="B32" s="75" t="s">
        <v>44</v>
      </c>
      <c r="C32" s="64"/>
      <c r="D32" s="112" t="s">
        <v>55</v>
      </c>
      <c r="E32" s="112"/>
      <c r="F32" s="112"/>
      <c r="H32" s="46"/>
    </row>
    <row r="33" spans="1:8" s="45" customFormat="1" ht="18.75">
      <c r="A33" s="64"/>
      <c r="B33" s="76"/>
      <c r="C33" s="64"/>
      <c r="D33" s="112" t="s">
        <v>55</v>
      </c>
      <c r="E33" s="112"/>
      <c r="F33" s="112"/>
      <c r="H33" s="46"/>
    </row>
    <row r="34" spans="1:8" s="45" customFormat="1" ht="18.75">
      <c r="A34" s="64"/>
      <c r="B34" s="76"/>
      <c r="C34" s="64"/>
      <c r="D34" s="64"/>
      <c r="E34" s="112"/>
      <c r="F34" s="112"/>
      <c r="H34" s="46"/>
    </row>
    <row r="35" spans="1:8" s="45" customFormat="1" ht="18.75">
      <c r="A35" s="64"/>
      <c r="B35" s="75" t="s">
        <v>45</v>
      </c>
      <c r="C35" s="64"/>
      <c r="D35" s="112" t="s">
        <v>56</v>
      </c>
      <c r="E35" s="112"/>
      <c r="F35" s="112"/>
      <c r="H35" s="46"/>
    </row>
    <row r="36" spans="1:8" ht="18.75">
      <c r="B36" s="43"/>
    </row>
  </sheetData>
  <mergeCells count="12">
    <mergeCell ref="D35:F35"/>
    <mergeCell ref="B2:F2"/>
    <mergeCell ref="D28:F28"/>
    <mergeCell ref="D29:F29"/>
    <mergeCell ref="E34:F34"/>
    <mergeCell ref="D30:F30"/>
    <mergeCell ref="D31:F31"/>
    <mergeCell ref="D32:F32"/>
    <mergeCell ref="D33:F33"/>
    <mergeCell ref="B4:F4"/>
    <mergeCell ref="A24:F24"/>
    <mergeCell ref="B25:E25"/>
  </mergeCells>
  <pageMargins left="0.7" right="0.7" top="0.75" bottom="0.75" header="0.3" footer="0.3"/>
  <pageSetup paperSize="9" scale="57" orientation="portrait" verticalDpi="0" r:id="rId1"/>
  <ignoredErrors>
    <ignoredError sqref="F13 F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36"/>
  <sheetViews>
    <sheetView workbookViewId="0">
      <selection sqref="A1:XFD1048576"/>
    </sheetView>
  </sheetViews>
  <sheetFormatPr defaultRowHeight="15.75"/>
  <cols>
    <col min="1" max="1" width="3.28515625" bestFit="1" customWidth="1"/>
    <col min="2" max="2" width="43.7109375" style="9" customWidth="1"/>
    <col min="4" max="4" width="13.5703125" bestFit="1" customWidth="1"/>
    <col min="5" max="5" width="12" customWidth="1"/>
    <col min="6" max="6" width="22.85546875" customWidth="1"/>
    <col min="7" max="7" width="15.85546875" customWidth="1"/>
    <col min="8" max="8" width="17" style="36" bestFit="1" customWidth="1"/>
    <col min="9" max="9" width="15.85546875" customWidth="1"/>
    <col min="10" max="10" width="10.85546875" bestFit="1" customWidth="1"/>
    <col min="11" max="11" width="10" bestFit="1" customWidth="1"/>
  </cols>
  <sheetData>
    <row r="2" spans="1:9" s="45" customFormat="1" ht="18.75">
      <c r="A2" s="64"/>
      <c r="B2" s="111" t="s">
        <v>66</v>
      </c>
      <c r="C2" s="111"/>
      <c r="D2" s="111"/>
      <c r="E2" s="111"/>
      <c r="F2" s="111"/>
      <c r="H2" s="46"/>
    </row>
    <row r="3" spans="1:9" s="45" customFormat="1" ht="30">
      <c r="A3" s="65" t="s">
        <v>0</v>
      </c>
      <c r="B3" s="66" t="s">
        <v>19</v>
      </c>
      <c r="C3" s="67" t="s">
        <v>20</v>
      </c>
      <c r="D3" s="67" t="s">
        <v>2</v>
      </c>
      <c r="E3" s="67" t="s">
        <v>21</v>
      </c>
      <c r="F3" s="67" t="s">
        <v>22</v>
      </c>
      <c r="G3" s="50"/>
      <c r="H3" s="51"/>
      <c r="I3" s="50"/>
    </row>
    <row r="4" spans="1:9" s="45" customFormat="1">
      <c r="A4" s="65"/>
      <c r="B4" s="113" t="s">
        <v>57</v>
      </c>
      <c r="C4" s="114"/>
      <c r="D4" s="114"/>
      <c r="E4" s="114"/>
      <c r="F4" s="115"/>
      <c r="G4" s="50"/>
      <c r="H4" s="51"/>
      <c r="I4" s="50"/>
    </row>
    <row r="5" spans="1:9" s="45" customFormat="1">
      <c r="A5" s="68">
        <v>1</v>
      </c>
      <c r="B5" s="69" t="s">
        <v>69</v>
      </c>
      <c r="C5" s="70" t="s">
        <v>58</v>
      </c>
      <c r="D5" s="28">
        <f>2*150</f>
        <v>300</v>
      </c>
      <c r="E5" s="28">
        <v>3000</v>
      </c>
      <c r="F5" s="29">
        <f>D5*E5</f>
        <v>900000</v>
      </c>
      <c r="G5" s="57">
        <f>F5*15%</f>
        <v>135000</v>
      </c>
      <c r="H5" s="58">
        <f>F5*10%</f>
        <v>90000</v>
      </c>
      <c r="I5" s="57">
        <f>G5+F5</f>
        <v>1035000</v>
      </c>
    </row>
    <row r="6" spans="1:9" s="45" customFormat="1">
      <c r="A6" s="68"/>
      <c r="B6" s="69" t="s">
        <v>31</v>
      </c>
      <c r="C6" s="70" t="s">
        <v>60</v>
      </c>
      <c r="D6" s="80">
        <f>0.5*150</f>
        <v>75</v>
      </c>
      <c r="E6" s="28">
        <v>3000</v>
      </c>
      <c r="F6" s="29">
        <f t="shared" ref="F6:F16" si="0">D6*E6</f>
        <v>225000</v>
      </c>
      <c r="G6" s="57"/>
      <c r="H6" s="58"/>
      <c r="I6" s="57"/>
    </row>
    <row r="7" spans="1:9" s="45" customFormat="1">
      <c r="A7" s="68">
        <v>5</v>
      </c>
      <c r="B7" s="69" t="s">
        <v>70</v>
      </c>
      <c r="C7" s="70" t="s">
        <v>58</v>
      </c>
      <c r="D7" s="80">
        <f>0.5*150</f>
        <v>75</v>
      </c>
      <c r="E7" s="28">
        <v>3000</v>
      </c>
      <c r="F7" s="29">
        <f t="shared" si="0"/>
        <v>225000</v>
      </c>
      <c r="G7" s="57">
        <f t="shared" ref="G7:G17" si="1">F7*15%</f>
        <v>33750</v>
      </c>
      <c r="H7" s="58">
        <f t="shared" ref="H7:H17" si="2">F7*10%</f>
        <v>22500</v>
      </c>
      <c r="I7" s="57">
        <f t="shared" ref="I7:I17" si="3">G7+F7</f>
        <v>258750</v>
      </c>
    </row>
    <row r="8" spans="1:9" s="45" customFormat="1">
      <c r="A8" s="68"/>
      <c r="B8" s="82" t="s">
        <v>59</v>
      </c>
      <c r="C8" s="69"/>
      <c r="D8" s="69"/>
      <c r="E8" s="69"/>
      <c r="F8" s="77">
        <f>SUM(F5:F7)</f>
        <v>1350000</v>
      </c>
      <c r="G8" s="57">
        <f t="shared" si="1"/>
        <v>202500</v>
      </c>
      <c r="H8" s="58">
        <f t="shared" si="2"/>
        <v>135000</v>
      </c>
      <c r="I8" s="57">
        <f t="shared" si="3"/>
        <v>1552500</v>
      </c>
    </row>
    <row r="9" spans="1:9" s="45" customFormat="1">
      <c r="A9" s="68">
        <v>6</v>
      </c>
      <c r="B9" s="69" t="s">
        <v>61</v>
      </c>
      <c r="C9" s="70" t="s">
        <v>62</v>
      </c>
      <c r="D9" s="28">
        <v>389</v>
      </c>
      <c r="E9" s="28">
        <v>16000</v>
      </c>
      <c r="F9" s="29">
        <f t="shared" si="0"/>
        <v>6224000</v>
      </c>
      <c r="G9" s="57">
        <f t="shared" si="1"/>
        <v>933600</v>
      </c>
      <c r="H9" s="58">
        <f t="shared" si="2"/>
        <v>622400</v>
      </c>
      <c r="I9" s="57">
        <f t="shared" si="3"/>
        <v>7157600</v>
      </c>
    </row>
    <row r="10" spans="1:9" s="45" customFormat="1">
      <c r="A10" s="68">
        <v>7</v>
      </c>
      <c r="B10" s="69" t="s">
        <v>31</v>
      </c>
      <c r="C10" s="70" t="s">
        <v>32</v>
      </c>
      <c r="D10" s="28">
        <f>0.5*600</f>
        <v>300</v>
      </c>
      <c r="E10" s="28">
        <v>3000</v>
      </c>
      <c r="F10" s="29">
        <f t="shared" si="0"/>
        <v>900000</v>
      </c>
      <c r="G10" s="57">
        <f t="shared" si="1"/>
        <v>135000</v>
      </c>
      <c r="H10" s="58">
        <f t="shared" si="2"/>
        <v>90000</v>
      </c>
      <c r="I10" s="57">
        <f t="shared" si="3"/>
        <v>1035000</v>
      </c>
    </row>
    <row r="11" spans="1:9" s="45" customFormat="1">
      <c r="A11" s="68">
        <v>8</v>
      </c>
      <c r="B11" s="69" t="s">
        <v>71</v>
      </c>
      <c r="C11" s="70" t="s">
        <v>58</v>
      </c>
      <c r="D11" s="28">
        <v>389</v>
      </c>
      <c r="E11" s="28">
        <v>3000</v>
      </c>
      <c r="F11" s="29">
        <f t="shared" si="0"/>
        <v>1167000</v>
      </c>
      <c r="G11" s="57">
        <f t="shared" si="1"/>
        <v>175050</v>
      </c>
      <c r="H11" s="58">
        <f t="shared" si="2"/>
        <v>116700</v>
      </c>
      <c r="I11" s="57">
        <f t="shared" si="3"/>
        <v>1342050</v>
      </c>
    </row>
    <row r="12" spans="1:9" s="45" customFormat="1">
      <c r="A12" s="68">
        <v>9</v>
      </c>
      <c r="B12" s="69" t="s">
        <v>70</v>
      </c>
      <c r="C12" s="70" t="s">
        <v>58</v>
      </c>
      <c r="D12" s="28">
        <f>0.5*600</f>
        <v>300</v>
      </c>
      <c r="E12" s="28">
        <v>3000</v>
      </c>
      <c r="F12" s="29">
        <f t="shared" si="0"/>
        <v>900000</v>
      </c>
      <c r="G12" s="57">
        <f t="shared" si="1"/>
        <v>135000</v>
      </c>
      <c r="H12" s="58">
        <f t="shared" si="2"/>
        <v>90000</v>
      </c>
      <c r="I12" s="57">
        <f t="shared" si="3"/>
        <v>1035000</v>
      </c>
    </row>
    <row r="13" spans="1:9" s="45" customFormat="1" ht="15">
      <c r="A13" s="78"/>
      <c r="B13" s="83" t="s">
        <v>63</v>
      </c>
      <c r="C13" s="68"/>
      <c r="D13" s="68"/>
      <c r="E13" s="68"/>
      <c r="F13" s="72">
        <f>SUM(F9:F12)</f>
        <v>9191000</v>
      </c>
      <c r="G13" s="57">
        <f t="shared" si="1"/>
        <v>1378650</v>
      </c>
      <c r="H13" s="58">
        <f t="shared" si="2"/>
        <v>919100</v>
      </c>
      <c r="I13" s="57">
        <f t="shared" si="3"/>
        <v>10569650</v>
      </c>
    </row>
    <row r="14" spans="1:9" s="45" customFormat="1">
      <c r="A14" s="68">
        <v>11</v>
      </c>
      <c r="B14" s="69" t="s">
        <v>64</v>
      </c>
      <c r="C14" s="70" t="s">
        <v>24</v>
      </c>
      <c r="D14" s="28">
        <v>150</v>
      </c>
      <c r="E14" s="28">
        <v>15000</v>
      </c>
      <c r="F14" s="29">
        <f t="shared" si="0"/>
        <v>2250000</v>
      </c>
      <c r="G14" s="57">
        <f t="shared" si="1"/>
        <v>337500</v>
      </c>
      <c r="H14" s="58">
        <f t="shared" si="2"/>
        <v>225000</v>
      </c>
      <c r="I14" s="57">
        <f t="shared" si="3"/>
        <v>2587500</v>
      </c>
    </row>
    <row r="15" spans="1:9" s="45" customFormat="1">
      <c r="A15" s="68">
        <v>12</v>
      </c>
      <c r="B15" s="69" t="s">
        <v>70</v>
      </c>
      <c r="C15" s="70" t="s">
        <v>26</v>
      </c>
      <c r="D15" s="28">
        <f>0.5*150</f>
        <v>75</v>
      </c>
      <c r="E15" s="28">
        <v>3000</v>
      </c>
      <c r="F15" s="29">
        <f t="shared" si="0"/>
        <v>225000</v>
      </c>
      <c r="G15" s="57">
        <f t="shared" si="1"/>
        <v>33750</v>
      </c>
      <c r="H15" s="58">
        <f t="shared" si="2"/>
        <v>22500</v>
      </c>
      <c r="I15" s="57">
        <f t="shared" si="3"/>
        <v>258750</v>
      </c>
    </row>
    <row r="16" spans="1:9" s="45" customFormat="1">
      <c r="A16" s="68"/>
      <c r="B16" s="69" t="s">
        <v>31</v>
      </c>
      <c r="C16" s="70" t="s">
        <v>32</v>
      </c>
      <c r="D16" s="28">
        <f>0.5*150</f>
        <v>75</v>
      </c>
      <c r="E16" s="28">
        <v>3000</v>
      </c>
      <c r="F16" s="29">
        <f t="shared" si="0"/>
        <v>225000</v>
      </c>
      <c r="G16" s="57">
        <f t="shared" si="1"/>
        <v>33750</v>
      </c>
      <c r="H16" s="58">
        <f t="shared" si="2"/>
        <v>22500</v>
      </c>
      <c r="I16" s="57">
        <f t="shared" si="3"/>
        <v>258750</v>
      </c>
    </row>
    <row r="17" spans="1:11" s="45" customFormat="1">
      <c r="A17" s="68"/>
      <c r="B17" s="69"/>
      <c r="C17" s="70"/>
      <c r="D17" s="28"/>
      <c r="E17" s="28"/>
      <c r="F17" s="72">
        <f>SUM(F14:F16)</f>
        <v>2700000</v>
      </c>
      <c r="G17" s="57">
        <f t="shared" si="1"/>
        <v>405000</v>
      </c>
      <c r="H17" s="58">
        <f t="shared" si="2"/>
        <v>270000</v>
      </c>
      <c r="I17" s="57">
        <f t="shared" si="3"/>
        <v>3105000</v>
      </c>
    </row>
    <row r="18" spans="1:11" s="45" customFormat="1">
      <c r="A18" s="68"/>
      <c r="B18" s="66" t="s">
        <v>33</v>
      </c>
      <c r="C18" s="67"/>
      <c r="D18" s="71"/>
      <c r="E18" s="71"/>
      <c r="F18" s="72">
        <f>F17+F13+F8</f>
        <v>13241000</v>
      </c>
      <c r="G18" s="61">
        <f>F18+F19</f>
        <v>14565100</v>
      </c>
      <c r="H18" s="51">
        <f>G18*15%</f>
        <v>2184765</v>
      </c>
      <c r="I18" s="61">
        <f>H18+G18</f>
        <v>16749865</v>
      </c>
      <c r="K18" s="45">
        <f>322918000/19</f>
        <v>16995684.210526317</v>
      </c>
    </row>
    <row r="19" spans="1:11" s="45" customFormat="1">
      <c r="A19" s="68"/>
      <c r="B19" s="69" t="s">
        <v>34</v>
      </c>
      <c r="C19" s="70"/>
      <c r="D19" s="28"/>
      <c r="E19" s="28"/>
      <c r="F19" s="29">
        <f>F18*10%</f>
        <v>1324100</v>
      </c>
      <c r="G19" s="57"/>
      <c r="H19" s="58"/>
      <c r="I19" s="57"/>
      <c r="K19" s="45">
        <f>345918420/19</f>
        <v>18206232.631578948</v>
      </c>
    </row>
    <row r="20" spans="1:11" s="45" customFormat="1">
      <c r="A20" s="68"/>
      <c r="B20" s="69"/>
      <c r="C20" s="70"/>
      <c r="D20" s="28"/>
      <c r="E20" s="28"/>
      <c r="F20" s="72">
        <f>F18+F19</f>
        <v>14565100</v>
      </c>
      <c r="G20" s="61"/>
      <c r="H20" s="51">
        <f>18480190*19</f>
        <v>351123610</v>
      </c>
      <c r="I20" s="61"/>
      <c r="K20" s="45">
        <f>351143750/19</f>
        <v>18481250</v>
      </c>
    </row>
    <row r="21" spans="1:11" s="45" customFormat="1">
      <c r="A21" s="68"/>
      <c r="B21" s="69" t="s">
        <v>35</v>
      </c>
      <c r="C21" s="70"/>
      <c r="D21" s="28"/>
      <c r="E21" s="28"/>
      <c r="F21" s="29">
        <f>F20*15%</f>
        <v>2184765</v>
      </c>
      <c r="G21" s="57"/>
      <c r="H21" s="58"/>
      <c r="I21" s="57"/>
    </row>
    <row r="22" spans="1:11" s="45" customFormat="1">
      <c r="A22" s="68"/>
      <c r="B22" s="69" t="s">
        <v>65</v>
      </c>
      <c r="C22" s="70" t="s">
        <v>58</v>
      </c>
      <c r="D22" s="28">
        <v>860</v>
      </c>
      <c r="E22" s="28">
        <v>2000</v>
      </c>
      <c r="F22" s="29">
        <f t="shared" ref="F22" si="4">D22*E22</f>
        <v>1720000</v>
      </c>
      <c r="G22" s="57"/>
      <c r="H22" s="58"/>
      <c r="I22" s="57"/>
      <c r="K22" s="45">
        <f>19*F23</f>
        <v>350927435</v>
      </c>
    </row>
    <row r="23" spans="1:11" s="45" customFormat="1">
      <c r="A23" s="65"/>
      <c r="B23" s="66" t="s">
        <v>36</v>
      </c>
      <c r="C23" s="67"/>
      <c r="D23" s="71"/>
      <c r="E23" s="71"/>
      <c r="F23" s="72">
        <f>F20+F21+F22</f>
        <v>18469865</v>
      </c>
      <c r="G23" s="62"/>
      <c r="H23" s="51"/>
      <c r="I23" s="61"/>
      <c r="K23" s="45">
        <f>351143750-K22</f>
        <v>216315</v>
      </c>
    </row>
    <row r="24" spans="1:11" s="45" customFormat="1" ht="15.75" customHeight="1">
      <c r="A24" s="116" t="s">
        <v>73</v>
      </c>
      <c r="B24" s="116"/>
      <c r="C24" s="116"/>
      <c r="D24" s="116"/>
      <c r="E24" s="116"/>
      <c r="F24" s="116"/>
      <c r="G24" s="63"/>
      <c r="H24" s="46"/>
      <c r="I24" s="63"/>
    </row>
    <row r="25" spans="1:11" s="45" customFormat="1" ht="15.75" customHeight="1">
      <c r="A25" s="80"/>
      <c r="B25" s="117" t="s">
        <v>72</v>
      </c>
      <c r="C25" s="118"/>
      <c r="D25" s="118"/>
      <c r="E25" s="119"/>
      <c r="F25" s="81">
        <f>F23*19</f>
        <v>350927435</v>
      </c>
      <c r="G25" s="63">
        <f>F23*5</f>
        <v>92349325</v>
      </c>
      <c r="H25" s="46">
        <f>G25+F25</f>
        <v>443276760</v>
      </c>
      <c r="I25" s="63">
        <f>F25+'[1]Акшолак   '!$O$2395</f>
        <v>350927435</v>
      </c>
      <c r="J25" s="63">
        <f>I25+[1]Лабаротория!$F$1049</f>
        <v>397800735</v>
      </c>
    </row>
    <row r="26" spans="1:11" s="45" customFormat="1" ht="15.75" customHeight="1">
      <c r="A26" s="79"/>
      <c r="B26" s="79"/>
      <c r="C26" s="79"/>
      <c r="D26" s="79"/>
      <c r="E26" s="79"/>
      <c r="F26" s="79"/>
      <c r="G26" s="63"/>
      <c r="H26" s="46"/>
      <c r="I26" s="63"/>
      <c r="J26" s="45">
        <f>322918000</f>
        <v>322918000</v>
      </c>
    </row>
    <row r="27" spans="1:11" s="45" customFormat="1">
      <c r="A27" s="64"/>
      <c r="B27" s="73"/>
      <c r="C27" s="64"/>
      <c r="D27" s="64"/>
      <c r="E27" s="64"/>
      <c r="F27" s="64"/>
      <c r="H27" s="46"/>
    </row>
    <row r="28" spans="1:11" s="45" customFormat="1" ht="18.75">
      <c r="A28" s="64"/>
      <c r="B28" s="75" t="s">
        <v>40</v>
      </c>
      <c r="C28" s="64"/>
      <c r="D28" s="112" t="s">
        <v>55</v>
      </c>
      <c r="E28" s="112"/>
      <c r="F28" s="112"/>
      <c r="H28" s="46"/>
    </row>
    <row r="29" spans="1:11" s="45" customFormat="1" ht="18.75">
      <c r="A29" s="64"/>
      <c r="B29" s="75" t="s">
        <v>41</v>
      </c>
      <c r="C29" s="64"/>
      <c r="D29" s="112" t="s">
        <v>55</v>
      </c>
      <c r="E29" s="112"/>
      <c r="F29" s="112"/>
      <c r="H29" s="46"/>
    </row>
    <row r="30" spans="1:11" s="45" customFormat="1" ht="18.75">
      <c r="A30" s="64"/>
      <c r="B30" s="75" t="s">
        <v>42</v>
      </c>
      <c r="C30" s="64"/>
      <c r="D30" s="112" t="s">
        <v>55</v>
      </c>
      <c r="E30" s="112"/>
      <c r="F30" s="112"/>
      <c r="H30" s="46"/>
    </row>
    <row r="31" spans="1:11" s="45" customFormat="1" ht="18.75">
      <c r="A31" s="64"/>
      <c r="B31" s="75" t="s">
        <v>43</v>
      </c>
      <c r="C31" s="64"/>
      <c r="D31" s="112" t="s">
        <v>55</v>
      </c>
      <c r="E31" s="112"/>
      <c r="F31" s="112"/>
      <c r="H31" s="46"/>
    </row>
    <row r="32" spans="1:11" s="45" customFormat="1" ht="18.75">
      <c r="A32" s="64"/>
      <c r="B32" s="75" t="s">
        <v>44</v>
      </c>
      <c r="C32" s="64"/>
      <c r="D32" s="112" t="s">
        <v>55</v>
      </c>
      <c r="E32" s="112"/>
      <c r="F32" s="112"/>
      <c r="H32" s="46"/>
    </row>
    <row r="33" spans="1:8" s="45" customFormat="1" ht="18.75">
      <c r="A33" s="64"/>
      <c r="B33" s="76"/>
      <c r="C33" s="64"/>
      <c r="D33" s="112" t="s">
        <v>55</v>
      </c>
      <c r="E33" s="112"/>
      <c r="F33" s="112"/>
      <c r="H33" s="46"/>
    </row>
    <row r="34" spans="1:8" s="45" customFormat="1" ht="18.75">
      <c r="A34" s="64"/>
      <c r="B34" s="76"/>
      <c r="C34" s="64"/>
      <c r="D34" s="64"/>
      <c r="E34" s="112"/>
      <c r="F34" s="112"/>
      <c r="H34" s="46"/>
    </row>
    <row r="35" spans="1:8" s="45" customFormat="1" ht="18.75">
      <c r="A35" s="64"/>
      <c r="B35" s="75" t="s">
        <v>45</v>
      </c>
      <c r="C35" s="64"/>
      <c r="D35" s="112" t="s">
        <v>56</v>
      </c>
      <c r="E35" s="112"/>
      <c r="F35" s="112"/>
      <c r="H35" s="46"/>
    </row>
    <row r="36" spans="1:8" ht="18.75">
      <c r="B36" s="43"/>
    </row>
  </sheetData>
  <mergeCells count="12">
    <mergeCell ref="D35:F35"/>
    <mergeCell ref="B2:F2"/>
    <mergeCell ref="B4:F4"/>
    <mergeCell ref="A24:F24"/>
    <mergeCell ref="B25:E25"/>
    <mergeCell ref="D28:F28"/>
    <mergeCell ref="D29:F29"/>
    <mergeCell ref="D30:F30"/>
    <mergeCell ref="D31:F31"/>
    <mergeCell ref="D32:F32"/>
    <mergeCell ref="D33:F33"/>
    <mergeCell ref="E34:F34"/>
  </mergeCells>
  <pageMargins left="0.7" right="0.7" top="0.75" bottom="0.75" header="0.3" footer="0.3"/>
  <pageSetup paperSize="9" scale="5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2"/>
  <sheetViews>
    <sheetView topLeftCell="A10" workbookViewId="0">
      <selection activeCell="D16" sqref="D16"/>
    </sheetView>
  </sheetViews>
  <sheetFormatPr defaultRowHeight="15"/>
  <cols>
    <col min="1" max="1" width="5.7109375" customWidth="1"/>
    <col min="2" max="2" width="18.140625" customWidth="1"/>
    <col min="5" max="5" width="16.28515625" customWidth="1"/>
    <col min="7" max="7" width="10.140625" customWidth="1"/>
    <col min="14" max="14" width="10.42578125" customWidth="1"/>
  </cols>
  <sheetData>
    <row r="1" spans="1:14" ht="18.75">
      <c r="A1" s="44"/>
      <c r="B1" s="43"/>
      <c r="C1" s="43" t="s">
        <v>74</v>
      </c>
      <c r="D1" s="43"/>
      <c r="E1" s="43"/>
      <c r="F1" s="43"/>
      <c r="G1" s="43"/>
      <c r="H1" s="43"/>
      <c r="I1" s="44"/>
      <c r="J1" s="44"/>
      <c r="K1" s="44"/>
      <c r="L1" s="44"/>
      <c r="M1" s="44"/>
    </row>
    <row r="2" spans="1:14" ht="18.75">
      <c r="A2" s="44"/>
      <c r="B2" s="43"/>
      <c r="C2" s="43" t="s">
        <v>75</v>
      </c>
      <c r="D2" s="43"/>
      <c r="E2" s="43"/>
      <c r="F2" s="43"/>
      <c r="G2" s="43"/>
      <c r="H2" s="43"/>
      <c r="I2" s="44"/>
      <c r="J2" s="44"/>
      <c r="K2" s="44"/>
      <c r="L2" s="44"/>
      <c r="M2" s="44"/>
    </row>
    <row r="3" spans="1:14" ht="18.75">
      <c r="A3" s="44"/>
      <c r="B3" s="43"/>
      <c r="C3" s="43"/>
      <c r="D3" s="43"/>
      <c r="E3" s="43"/>
      <c r="F3" s="43"/>
      <c r="G3" s="43"/>
      <c r="H3" s="43"/>
      <c r="I3" s="44"/>
      <c r="J3" s="44"/>
      <c r="K3" s="44"/>
      <c r="L3" s="44"/>
      <c r="M3" s="44"/>
    </row>
    <row r="4" spans="1:14" ht="18.75">
      <c r="A4" s="44"/>
      <c r="B4" s="129" t="s">
        <v>76</v>
      </c>
      <c r="C4" s="129"/>
      <c r="D4" s="129"/>
      <c r="E4" s="84"/>
      <c r="F4" s="43"/>
      <c r="G4" s="43"/>
      <c r="H4" s="43"/>
      <c r="I4" s="43" t="s">
        <v>77</v>
      </c>
      <c r="J4" s="43"/>
      <c r="K4" s="43"/>
      <c r="L4" s="43"/>
      <c r="M4" s="43"/>
    </row>
    <row r="5" spans="1:14" ht="18.75">
      <c r="A5" s="44"/>
      <c r="B5" s="129" t="s">
        <v>78</v>
      </c>
      <c r="C5" s="129"/>
      <c r="D5" s="129"/>
      <c r="E5" s="85"/>
      <c r="F5" s="43"/>
      <c r="G5" s="43"/>
      <c r="H5" s="43"/>
      <c r="I5" s="43" t="s">
        <v>79</v>
      </c>
      <c r="J5" s="43"/>
      <c r="K5" s="43"/>
      <c r="L5" s="43"/>
      <c r="M5" s="43"/>
    </row>
    <row r="6" spans="1:14" ht="18.75">
      <c r="A6" s="44"/>
      <c r="B6" s="84" t="s">
        <v>80</v>
      </c>
      <c r="C6" s="84"/>
      <c r="D6" s="84"/>
      <c r="E6" s="84"/>
      <c r="F6" s="43"/>
      <c r="G6" s="43"/>
      <c r="H6" s="43"/>
      <c r="I6" s="43" t="s">
        <v>81</v>
      </c>
      <c r="J6" s="43"/>
      <c r="K6" s="43"/>
      <c r="L6" s="43"/>
      <c r="M6" s="43"/>
    </row>
    <row r="7" spans="1:14" ht="18.75">
      <c r="A7" s="44"/>
      <c r="B7" s="84" t="s">
        <v>82</v>
      </c>
      <c r="C7" s="84"/>
      <c r="D7" s="84"/>
      <c r="E7" s="84"/>
      <c r="F7" s="43"/>
      <c r="G7" s="43"/>
      <c r="H7" s="43"/>
      <c r="I7" s="43" t="s">
        <v>83</v>
      </c>
      <c r="J7" s="43"/>
      <c r="K7" s="43"/>
      <c r="L7" s="43"/>
      <c r="M7" s="43"/>
    </row>
    <row r="8" spans="1:14" ht="18.7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4" ht="18.75">
      <c r="A9" s="131" t="s">
        <v>0</v>
      </c>
      <c r="B9" s="130" t="s">
        <v>84</v>
      </c>
      <c r="C9" s="128" t="s">
        <v>85</v>
      </c>
      <c r="D9" s="128" t="s">
        <v>86</v>
      </c>
      <c r="E9" s="128" t="s">
        <v>87</v>
      </c>
      <c r="F9" s="130" t="s">
        <v>88</v>
      </c>
      <c r="G9" s="130"/>
      <c r="H9" s="128" t="s">
        <v>89</v>
      </c>
      <c r="I9" s="128"/>
      <c r="J9" s="128"/>
      <c r="K9" s="130" t="s">
        <v>90</v>
      </c>
      <c r="L9" s="130"/>
      <c r="M9" s="130"/>
    </row>
    <row r="10" spans="1:14" ht="18.75">
      <c r="A10" s="131"/>
      <c r="B10" s="130"/>
      <c r="C10" s="128"/>
      <c r="D10" s="128"/>
      <c r="E10" s="128"/>
      <c r="F10" s="130"/>
      <c r="G10" s="130"/>
      <c r="H10" s="86" t="s">
        <v>91</v>
      </c>
      <c r="I10" s="128" t="s">
        <v>92</v>
      </c>
      <c r="J10" s="128"/>
      <c r="K10" s="130"/>
      <c r="L10" s="130"/>
      <c r="M10" s="130"/>
    </row>
    <row r="11" spans="1:14" ht="18.75">
      <c r="A11" s="131"/>
      <c r="B11" s="87">
        <v>1</v>
      </c>
      <c r="C11" s="87">
        <v>2</v>
      </c>
      <c r="D11" s="87">
        <v>3</v>
      </c>
      <c r="E11" s="87">
        <v>4</v>
      </c>
      <c r="F11" s="128">
        <v>5</v>
      </c>
      <c r="G11" s="128"/>
      <c r="H11" s="87">
        <v>6</v>
      </c>
      <c r="I11" s="128">
        <v>7</v>
      </c>
      <c r="J11" s="128"/>
      <c r="K11" s="128">
        <v>8</v>
      </c>
      <c r="L11" s="128"/>
      <c r="M11" s="128"/>
    </row>
    <row r="12" spans="1:14" ht="21">
      <c r="A12" s="88">
        <v>1</v>
      </c>
      <c r="B12" s="89" t="s">
        <v>101</v>
      </c>
      <c r="C12" s="89" t="s">
        <v>94</v>
      </c>
      <c r="D12" s="88">
        <v>359</v>
      </c>
      <c r="E12" s="97">
        <v>65000</v>
      </c>
      <c r="F12" s="120">
        <f>E12*D12</f>
        <v>23335000</v>
      </c>
      <c r="G12" s="121"/>
      <c r="H12" s="90">
        <v>0</v>
      </c>
      <c r="I12" s="122">
        <f t="shared" ref="I12:I34" si="0">H12*F12</f>
        <v>0</v>
      </c>
      <c r="J12" s="122"/>
      <c r="K12" s="123">
        <f>F12+I12</f>
        <v>23335000</v>
      </c>
      <c r="L12" s="124"/>
      <c r="M12" s="125"/>
      <c r="N12">
        <f>D12+89</f>
        <v>448</v>
      </c>
    </row>
    <row r="13" spans="1:14" ht="21">
      <c r="A13" s="88">
        <v>2</v>
      </c>
      <c r="B13" s="89" t="s">
        <v>93</v>
      </c>
      <c r="C13" s="89" t="s">
        <v>94</v>
      </c>
      <c r="D13" s="88">
        <v>201</v>
      </c>
      <c r="E13" s="97">
        <v>4800</v>
      </c>
      <c r="F13" s="120">
        <f t="shared" ref="F13:F34" si="1">E13*D13</f>
        <v>964800</v>
      </c>
      <c r="G13" s="121"/>
      <c r="H13" s="90">
        <v>0</v>
      </c>
      <c r="I13" s="122">
        <f t="shared" si="0"/>
        <v>0</v>
      </c>
      <c r="J13" s="122"/>
      <c r="K13" s="123">
        <f t="shared" ref="K13:K34" si="2">F13+I13</f>
        <v>964800</v>
      </c>
      <c r="L13" s="124"/>
      <c r="M13" s="125"/>
      <c r="N13">
        <f>D13+126</f>
        <v>327</v>
      </c>
    </row>
    <row r="14" spans="1:14" ht="21">
      <c r="A14" s="88">
        <f>A13+1</f>
        <v>3</v>
      </c>
      <c r="B14" s="89" t="s">
        <v>96</v>
      </c>
      <c r="C14" s="89" t="s">
        <v>94</v>
      </c>
      <c r="D14" s="88">
        <v>1052</v>
      </c>
      <c r="E14" s="97">
        <f>2500</f>
        <v>2500</v>
      </c>
      <c r="F14" s="120">
        <f t="shared" si="1"/>
        <v>2630000</v>
      </c>
      <c r="G14" s="121"/>
      <c r="H14" s="90">
        <v>0.15</v>
      </c>
      <c r="I14" s="122">
        <f t="shared" si="0"/>
        <v>394500</v>
      </c>
      <c r="J14" s="122"/>
      <c r="K14" s="123">
        <f t="shared" si="2"/>
        <v>3024500</v>
      </c>
      <c r="L14" s="124"/>
      <c r="M14" s="125"/>
      <c r="N14">
        <f>D14+435</f>
        <v>1487</v>
      </c>
    </row>
    <row r="15" spans="1:14" ht="21">
      <c r="A15" s="88">
        <f t="shared" ref="A15:A34" si="3">A14+1</f>
        <v>4</v>
      </c>
      <c r="B15" s="89" t="s">
        <v>97</v>
      </c>
      <c r="C15" s="89" t="s">
        <v>94</v>
      </c>
      <c r="D15" s="88">
        <v>705</v>
      </c>
      <c r="E15" s="97">
        <v>7600</v>
      </c>
      <c r="F15" s="120">
        <f t="shared" si="1"/>
        <v>5358000</v>
      </c>
      <c r="G15" s="121"/>
      <c r="H15" s="90">
        <v>0.15</v>
      </c>
      <c r="I15" s="122">
        <f t="shared" si="0"/>
        <v>803700</v>
      </c>
      <c r="J15" s="122"/>
      <c r="K15" s="123">
        <f t="shared" si="2"/>
        <v>6161700</v>
      </c>
      <c r="L15" s="124"/>
      <c r="M15" s="125"/>
      <c r="N15">
        <f>D15+285</f>
        <v>990</v>
      </c>
    </row>
    <row r="16" spans="1:14" ht="21">
      <c r="A16" s="88">
        <f t="shared" si="3"/>
        <v>5</v>
      </c>
      <c r="B16" s="89" t="s">
        <v>98</v>
      </c>
      <c r="C16" s="89" t="s">
        <v>94</v>
      </c>
      <c r="D16" s="88">
        <v>287</v>
      </c>
      <c r="E16" s="97">
        <v>22000</v>
      </c>
      <c r="F16" s="120">
        <f t="shared" si="1"/>
        <v>6314000</v>
      </c>
      <c r="G16" s="121"/>
      <c r="H16" s="90">
        <v>0.15</v>
      </c>
      <c r="I16" s="122">
        <f t="shared" si="0"/>
        <v>947100</v>
      </c>
      <c r="J16" s="122"/>
      <c r="K16" s="123">
        <f t="shared" si="2"/>
        <v>7261100</v>
      </c>
      <c r="L16" s="124"/>
      <c r="M16" s="125"/>
      <c r="N16">
        <f>D16+74</f>
        <v>361</v>
      </c>
    </row>
    <row r="17" spans="1:14" ht="21">
      <c r="A17" s="88">
        <f t="shared" si="3"/>
        <v>6</v>
      </c>
      <c r="B17" s="89" t="s">
        <v>28</v>
      </c>
      <c r="C17" s="89" t="s">
        <v>58</v>
      </c>
      <c r="D17" s="88">
        <v>2775</v>
      </c>
      <c r="E17" s="97">
        <v>2500</v>
      </c>
      <c r="F17" s="120">
        <f t="shared" si="1"/>
        <v>6937500</v>
      </c>
      <c r="G17" s="121"/>
      <c r="H17" s="90">
        <v>0.15</v>
      </c>
      <c r="I17" s="122">
        <f t="shared" si="0"/>
        <v>1040625</v>
      </c>
      <c r="J17" s="122"/>
      <c r="K17" s="123">
        <f t="shared" si="2"/>
        <v>7978125</v>
      </c>
      <c r="L17" s="124"/>
      <c r="M17" s="125"/>
      <c r="N17">
        <f>D17+420</f>
        <v>3195</v>
      </c>
    </row>
    <row r="18" spans="1:14" ht="21">
      <c r="A18" s="88">
        <f t="shared" si="3"/>
        <v>7</v>
      </c>
      <c r="B18" s="89" t="s">
        <v>95</v>
      </c>
      <c r="C18" s="89" t="s">
        <v>94</v>
      </c>
      <c r="D18" s="88">
        <v>316</v>
      </c>
      <c r="E18" s="97">
        <v>5500</v>
      </c>
      <c r="F18" s="120">
        <f t="shared" si="1"/>
        <v>1738000</v>
      </c>
      <c r="G18" s="121"/>
      <c r="H18" s="90">
        <v>0.15</v>
      </c>
      <c r="I18" s="122">
        <f t="shared" si="0"/>
        <v>260700</v>
      </c>
      <c r="J18" s="122"/>
      <c r="K18" s="123">
        <f t="shared" si="2"/>
        <v>1998700</v>
      </c>
      <c r="L18" s="124"/>
      <c r="M18" s="125"/>
      <c r="N18">
        <f>D18+191</f>
        <v>507</v>
      </c>
    </row>
    <row r="19" spans="1:14" ht="21">
      <c r="A19" s="88">
        <f t="shared" si="3"/>
        <v>8</v>
      </c>
      <c r="B19" s="89" t="s">
        <v>99</v>
      </c>
      <c r="C19" s="89" t="s">
        <v>94</v>
      </c>
      <c r="D19" s="88">
        <v>14</v>
      </c>
      <c r="E19" s="97">
        <v>13200</v>
      </c>
      <c r="F19" s="120">
        <f t="shared" si="1"/>
        <v>184800</v>
      </c>
      <c r="G19" s="121"/>
      <c r="H19" s="90">
        <v>0.15</v>
      </c>
      <c r="I19" s="122">
        <f t="shared" si="0"/>
        <v>27720</v>
      </c>
      <c r="J19" s="122"/>
      <c r="K19" s="123">
        <f t="shared" si="2"/>
        <v>212520</v>
      </c>
      <c r="L19" s="124"/>
      <c r="M19" s="125"/>
    </row>
    <row r="20" spans="1:14" ht="21">
      <c r="A20" s="88">
        <f t="shared" si="3"/>
        <v>9</v>
      </c>
      <c r="B20" s="89" t="s">
        <v>108</v>
      </c>
      <c r="C20" s="89" t="s">
        <v>94</v>
      </c>
      <c r="D20" s="88">
        <v>225</v>
      </c>
      <c r="E20" s="97">
        <v>4500</v>
      </c>
      <c r="F20" s="120">
        <f t="shared" si="1"/>
        <v>1012500</v>
      </c>
      <c r="G20" s="121"/>
      <c r="H20" s="90">
        <v>0.15</v>
      </c>
      <c r="I20" s="122">
        <f t="shared" si="0"/>
        <v>151875</v>
      </c>
      <c r="J20" s="122"/>
      <c r="K20" s="123">
        <f t="shared" si="2"/>
        <v>1164375</v>
      </c>
      <c r="L20" s="124"/>
      <c r="M20" s="125"/>
    </row>
    <row r="21" spans="1:14" ht="21">
      <c r="A21" s="88">
        <f t="shared" si="3"/>
        <v>10</v>
      </c>
      <c r="B21" s="89" t="s">
        <v>103</v>
      </c>
      <c r="C21" s="89" t="s">
        <v>94</v>
      </c>
      <c r="D21" s="88">
        <v>40</v>
      </c>
      <c r="E21" s="97">
        <v>13000</v>
      </c>
      <c r="F21" s="120">
        <f t="shared" si="1"/>
        <v>520000</v>
      </c>
      <c r="G21" s="121"/>
      <c r="H21" s="90">
        <v>0.15</v>
      </c>
      <c r="I21" s="122">
        <f t="shared" si="0"/>
        <v>78000</v>
      </c>
      <c r="J21" s="122"/>
      <c r="K21" s="123">
        <f t="shared" si="2"/>
        <v>598000</v>
      </c>
      <c r="L21" s="124"/>
      <c r="M21" s="125"/>
    </row>
    <row r="22" spans="1:14" ht="21">
      <c r="A22" s="88">
        <f t="shared" si="3"/>
        <v>11</v>
      </c>
      <c r="B22" s="89" t="s">
        <v>104</v>
      </c>
      <c r="C22" s="89" t="s">
        <v>94</v>
      </c>
      <c r="D22" s="88">
        <v>10</v>
      </c>
      <c r="E22" s="97">
        <v>13000</v>
      </c>
      <c r="F22" s="120">
        <f t="shared" si="1"/>
        <v>130000</v>
      </c>
      <c r="G22" s="121"/>
      <c r="H22" s="90">
        <v>0.15</v>
      </c>
      <c r="I22" s="122">
        <f t="shared" si="0"/>
        <v>19500</v>
      </c>
      <c r="J22" s="122"/>
      <c r="K22" s="123">
        <f t="shared" si="2"/>
        <v>149500</v>
      </c>
      <c r="L22" s="124"/>
      <c r="M22" s="125"/>
    </row>
    <row r="23" spans="1:14" ht="21">
      <c r="A23" s="88">
        <f t="shared" si="3"/>
        <v>12</v>
      </c>
      <c r="B23" s="89" t="s">
        <v>102</v>
      </c>
      <c r="C23" s="89" t="s">
        <v>94</v>
      </c>
      <c r="D23" s="88">
        <v>7530</v>
      </c>
      <c r="E23" s="97">
        <v>1300</v>
      </c>
      <c r="F23" s="120">
        <f t="shared" si="1"/>
        <v>9789000</v>
      </c>
      <c r="G23" s="121"/>
      <c r="H23" s="90">
        <v>0.15</v>
      </c>
      <c r="I23" s="122">
        <f t="shared" si="0"/>
        <v>1468350</v>
      </c>
      <c r="J23" s="122"/>
      <c r="K23" s="123">
        <f t="shared" si="2"/>
        <v>11257350</v>
      </c>
      <c r="L23" s="124"/>
      <c r="M23" s="125"/>
      <c r="N23">
        <f>D23+2460</f>
        <v>9990</v>
      </c>
    </row>
    <row r="24" spans="1:14" ht="21">
      <c r="A24" s="88">
        <f t="shared" si="3"/>
        <v>13</v>
      </c>
      <c r="B24" s="89" t="s">
        <v>105</v>
      </c>
      <c r="C24" s="89" t="s">
        <v>94</v>
      </c>
      <c r="D24" s="88">
        <v>11</v>
      </c>
      <c r="E24" s="97">
        <v>22000</v>
      </c>
      <c r="F24" s="120">
        <f t="shared" si="1"/>
        <v>242000</v>
      </c>
      <c r="G24" s="121"/>
      <c r="H24" s="90">
        <v>0.15</v>
      </c>
      <c r="I24" s="122">
        <f t="shared" si="0"/>
        <v>36300</v>
      </c>
      <c r="J24" s="122"/>
      <c r="K24" s="123">
        <f t="shared" si="2"/>
        <v>278300</v>
      </c>
      <c r="L24" s="124"/>
      <c r="M24" s="125"/>
      <c r="N24">
        <v>11</v>
      </c>
    </row>
    <row r="25" spans="1:14" ht="21">
      <c r="A25" s="88">
        <f t="shared" si="3"/>
        <v>14</v>
      </c>
      <c r="B25" s="89" t="s">
        <v>100</v>
      </c>
      <c r="C25" s="89" t="s">
        <v>94</v>
      </c>
      <c r="D25" s="88">
        <v>60</v>
      </c>
      <c r="E25" s="97">
        <v>7500</v>
      </c>
      <c r="F25" s="120">
        <f t="shared" si="1"/>
        <v>450000</v>
      </c>
      <c r="G25" s="121"/>
      <c r="H25" s="90">
        <v>0.15</v>
      </c>
      <c r="I25" s="122">
        <f t="shared" si="0"/>
        <v>67500</v>
      </c>
      <c r="J25" s="122"/>
      <c r="K25" s="123">
        <f t="shared" si="2"/>
        <v>517500</v>
      </c>
      <c r="L25" s="124"/>
      <c r="M25" s="125"/>
    </row>
    <row r="26" spans="1:14" ht="21">
      <c r="A26" s="88">
        <f t="shared" si="3"/>
        <v>15</v>
      </c>
      <c r="B26" s="89" t="s">
        <v>106</v>
      </c>
      <c r="C26" s="89" t="s">
        <v>94</v>
      </c>
      <c r="D26" s="88">
        <v>16</v>
      </c>
      <c r="E26" s="97">
        <v>1100</v>
      </c>
      <c r="F26" s="120">
        <f t="shared" si="1"/>
        <v>17600</v>
      </c>
      <c r="G26" s="121"/>
      <c r="H26" s="90">
        <v>0.15</v>
      </c>
      <c r="I26" s="122">
        <f t="shared" si="0"/>
        <v>2640</v>
      </c>
      <c r="J26" s="122"/>
      <c r="K26" s="123">
        <f t="shared" si="2"/>
        <v>20240</v>
      </c>
      <c r="L26" s="124"/>
      <c r="M26" s="125"/>
    </row>
    <row r="27" spans="1:14" ht="21">
      <c r="A27" s="88">
        <f t="shared" si="3"/>
        <v>16</v>
      </c>
      <c r="B27" s="89" t="s">
        <v>107</v>
      </c>
      <c r="C27" s="89" t="s">
        <v>94</v>
      </c>
      <c r="D27" s="88">
        <v>175</v>
      </c>
      <c r="E27" s="97">
        <v>7000</v>
      </c>
      <c r="F27" s="120">
        <f t="shared" si="1"/>
        <v>1225000</v>
      </c>
      <c r="G27" s="121"/>
      <c r="H27" s="90">
        <v>0.15</v>
      </c>
      <c r="I27" s="122">
        <f t="shared" si="0"/>
        <v>183750</v>
      </c>
      <c r="J27" s="122"/>
      <c r="K27" s="123">
        <f t="shared" si="2"/>
        <v>1408750</v>
      </c>
      <c r="L27" s="124"/>
      <c r="M27" s="125"/>
      <c r="N27">
        <f>D27+65</f>
        <v>240</v>
      </c>
    </row>
    <row r="28" spans="1:14" ht="21">
      <c r="A28" s="88">
        <f t="shared" si="3"/>
        <v>17</v>
      </c>
      <c r="B28" s="89" t="s">
        <v>109</v>
      </c>
      <c r="C28" s="89" t="s">
        <v>94</v>
      </c>
      <c r="D28" s="88">
        <v>139</v>
      </c>
      <c r="E28" s="97">
        <v>4000</v>
      </c>
      <c r="F28" s="120">
        <f t="shared" si="1"/>
        <v>556000</v>
      </c>
      <c r="G28" s="121"/>
      <c r="H28" s="90">
        <v>0.15</v>
      </c>
      <c r="I28" s="122">
        <f t="shared" si="0"/>
        <v>83400</v>
      </c>
      <c r="J28" s="122"/>
      <c r="K28" s="123">
        <f t="shared" si="2"/>
        <v>639400</v>
      </c>
      <c r="L28" s="124"/>
      <c r="M28" s="125"/>
      <c r="N28">
        <v>29</v>
      </c>
    </row>
    <row r="29" spans="1:14" ht="21">
      <c r="A29" s="88">
        <f t="shared" si="3"/>
        <v>18</v>
      </c>
      <c r="B29" s="89" t="s">
        <v>14</v>
      </c>
      <c r="C29" s="89" t="s">
        <v>94</v>
      </c>
      <c r="D29" s="88">
        <v>15</v>
      </c>
      <c r="E29" s="97">
        <v>34500</v>
      </c>
      <c r="F29" s="120">
        <f t="shared" si="1"/>
        <v>517500</v>
      </c>
      <c r="G29" s="121"/>
      <c r="H29" s="90">
        <v>0.15</v>
      </c>
      <c r="I29" s="122">
        <f t="shared" si="0"/>
        <v>77625</v>
      </c>
      <c r="J29" s="122"/>
      <c r="K29" s="123">
        <f t="shared" si="2"/>
        <v>595125</v>
      </c>
      <c r="L29" s="124"/>
      <c r="M29" s="125"/>
      <c r="N29">
        <v>8</v>
      </c>
    </row>
    <row r="30" spans="1:14" ht="21">
      <c r="A30" s="88">
        <f t="shared" si="3"/>
        <v>19</v>
      </c>
      <c r="B30" s="89" t="s">
        <v>118</v>
      </c>
      <c r="C30" s="89" t="s">
        <v>60</v>
      </c>
      <c r="D30" s="88">
        <v>10</v>
      </c>
      <c r="E30" s="97">
        <v>8000</v>
      </c>
      <c r="F30" s="120">
        <f t="shared" si="1"/>
        <v>80000</v>
      </c>
      <c r="G30" s="121"/>
      <c r="H30" s="90">
        <v>0.15</v>
      </c>
      <c r="I30" s="122">
        <f t="shared" si="0"/>
        <v>12000</v>
      </c>
      <c r="J30" s="122"/>
      <c r="K30" s="123">
        <f t="shared" si="2"/>
        <v>92000</v>
      </c>
      <c r="L30" s="124"/>
      <c r="M30" s="125"/>
    </row>
    <row r="31" spans="1:14" ht="21">
      <c r="A31" s="88">
        <f t="shared" si="3"/>
        <v>20</v>
      </c>
      <c r="B31" s="89" t="s">
        <v>121</v>
      </c>
      <c r="C31" s="89" t="s">
        <v>58</v>
      </c>
      <c r="D31" s="88">
        <v>48</v>
      </c>
      <c r="E31" s="97">
        <v>2500</v>
      </c>
      <c r="F31" s="120">
        <f t="shared" si="1"/>
        <v>120000</v>
      </c>
      <c r="G31" s="121"/>
      <c r="H31" s="90">
        <v>0.15</v>
      </c>
      <c r="I31" s="122">
        <f t="shared" si="0"/>
        <v>18000</v>
      </c>
      <c r="J31" s="122"/>
      <c r="K31" s="123">
        <f t="shared" si="2"/>
        <v>138000</v>
      </c>
      <c r="L31" s="124"/>
      <c r="M31" s="125"/>
    </row>
    <row r="32" spans="1:14" ht="21">
      <c r="A32" s="88">
        <f t="shared" si="3"/>
        <v>21</v>
      </c>
      <c r="B32" s="89" t="s">
        <v>119</v>
      </c>
      <c r="C32" s="89" t="s">
        <v>94</v>
      </c>
      <c r="D32" s="88">
        <v>6</v>
      </c>
      <c r="E32" s="97">
        <v>36000</v>
      </c>
      <c r="F32" s="120">
        <f t="shared" si="1"/>
        <v>216000</v>
      </c>
      <c r="G32" s="121"/>
      <c r="H32" s="90">
        <v>0.15</v>
      </c>
      <c r="I32" s="122">
        <f t="shared" si="0"/>
        <v>32400</v>
      </c>
      <c r="J32" s="122"/>
      <c r="K32" s="123">
        <f t="shared" si="2"/>
        <v>248400</v>
      </c>
      <c r="L32" s="124"/>
      <c r="M32" s="125"/>
    </row>
    <row r="33" spans="1:13" ht="21">
      <c r="A33" s="88">
        <f t="shared" si="3"/>
        <v>22</v>
      </c>
      <c r="B33" s="89" t="s">
        <v>120</v>
      </c>
      <c r="C33" s="89" t="s">
        <v>94</v>
      </c>
      <c r="D33" s="88">
        <v>5</v>
      </c>
      <c r="E33" s="97">
        <v>19000</v>
      </c>
      <c r="F33" s="120">
        <f t="shared" si="1"/>
        <v>95000</v>
      </c>
      <c r="G33" s="121"/>
      <c r="H33" s="90">
        <v>0.15</v>
      </c>
      <c r="I33" s="122">
        <f t="shared" si="0"/>
        <v>14250</v>
      </c>
      <c r="J33" s="122"/>
      <c r="K33" s="123">
        <f t="shared" si="2"/>
        <v>109250</v>
      </c>
      <c r="L33" s="124"/>
      <c r="M33" s="125"/>
    </row>
    <row r="34" spans="1:13" ht="21">
      <c r="A34" s="88">
        <f t="shared" si="3"/>
        <v>23</v>
      </c>
      <c r="B34" s="89"/>
      <c r="C34" s="89" t="s">
        <v>94</v>
      </c>
      <c r="D34" s="88"/>
      <c r="E34" s="97"/>
      <c r="F34" s="120">
        <f t="shared" si="1"/>
        <v>0</v>
      </c>
      <c r="G34" s="121"/>
      <c r="H34" s="90">
        <v>0.15</v>
      </c>
      <c r="I34" s="122">
        <f t="shared" si="0"/>
        <v>0</v>
      </c>
      <c r="J34" s="122"/>
      <c r="K34" s="123">
        <f t="shared" si="2"/>
        <v>0</v>
      </c>
      <c r="L34" s="124"/>
      <c r="M34" s="125"/>
    </row>
    <row r="35" spans="1:13" ht="21">
      <c r="A35" s="91"/>
      <c r="B35" s="92" t="s">
        <v>110</v>
      </c>
      <c r="C35" s="93"/>
      <c r="D35" s="94"/>
      <c r="E35" s="92"/>
      <c r="F35" s="126">
        <f>SUM(F12:F34)</f>
        <v>62432700</v>
      </c>
      <c r="G35" s="126"/>
      <c r="H35" s="90"/>
      <c r="I35" s="126">
        <f>SUM(I12:I34)</f>
        <v>5719935</v>
      </c>
      <c r="J35" s="126"/>
      <c r="K35" s="127">
        <f>I35+F35</f>
        <v>68152635</v>
      </c>
      <c r="L35" s="127"/>
      <c r="M35" s="127"/>
    </row>
    <row r="36" spans="1:13" ht="18.75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</row>
    <row r="37" spans="1:13" ht="15.75">
      <c r="A37" s="95" t="s">
        <v>111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18.75">
      <c r="A38" s="44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44"/>
      <c r="M38" s="44"/>
    </row>
    <row r="40" spans="1:13" ht="18.75">
      <c r="A40" s="44"/>
      <c r="B40" s="44" t="s">
        <v>112</v>
      </c>
      <c r="C40" s="44"/>
      <c r="D40" s="44"/>
      <c r="E40" s="44"/>
      <c r="F40" s="44"/>
      <c r="G40" s="44" t="s">
        <v>113</v>
      </c>
      <c r="H40" s="44"/>
      <c r="I40" s="44"/>
      <c r="J40" s="44"/>
      <c r="K40" s="44"/>
      <c r="L40" s="44"/>
      <c r="M40" s="44"/>
    </row>
    <row r="41" spans="1:13" ht="18.75">
      <c r="A41" s="44"/>
      <c r="B41" s="44" t="s">
        <v>114</v>
      </c>
      <c r="C41" s="44"/>
      <c r="D41" s="44"/>
      <c r="E41" s="44"/>
      <c r="F41" s="44"/>
      <c r="G41" s="44" t="s">
        <v>115</v>
      </c>
      <c r="H41" s="44"/>
      <c r="I41" s="44"/>
      <c r="J41" s="44"/>
      <c r="K41" s="44"/>
      <c r="L41" s="44"/>
      <c r="M41" s="44"/>
    </row>
    <row r="42" spans="1:13" ht="18.75">
      <c r="A42" s="44"/>
      <c r="B42" s="44" t="s">
        <v>116</v>
      </c>
      <c r="C42" s="44"/>
      <c r="D42" s="44"/>
      <c r="E42" s="44"/>
      <c r="F42" s="44"/>
      <c r="G42" s="44" t="s">
        <v>117</v>
      </c>
      <c r="H42" s="44"/>
      <c r="I42" s="44"/>
      <c r="J42" s="44"/>
      <c r="K42" s="44"/>
      <c r="L42" s="44"/>
      <c r="M42" s="44"/>
    </row>
  </sheetData>
  <mergeCells count="86">
    <mergeCell ref="A9:A11"/>
    <mergeCell ref="B9:B10"/>
    <mergeCell ref="C9:C10"/>
    <mergeCell ref="D9:D10"/>
    <mergeCell ref="F11:G11"/>
    <mergeCell ref="I11:J11"/>
    <mergeCell ref="K11:M11"/>
    <mergeCell ref="B4:D4"/>
    <mergeCell ref="B5:D5"/>
    <mergeCell ref="E9:E10"/>
    <mergeCell ref="F9:G10"/>
    <mergeCell ref="H9:J9"/>
    <mergeCell ref="K9:M10"/>
    <mergeCell ref="I10:J10"/>
    <mergeCell ref="F12:G12"/>
    <mergeCell ref="I12:J12"/>
    <mergeCell ref="K12:M12"/>
    <mergeCell ref="F13:G13"/>
    <mergeCell ref="I13:J13"/>
    <mergeCell ref="K13:M13"/>
    <mergeCell ref="F14:G14"/>
    <mergeCell ref="I14:J14"/>
    <mergeCell ref="K14:M14"/>
    <mergeCell ref="F15:G15"/>
    <mergeCell ref="I15:J15"/>
    <mergeCell ref="K15:M15"/>
    <mergeCell ref="F16:G16"/>
    <mergeCell ref="I16:J16"/>
    <mergeCell ref="K16:M16"/>
    <mergeCell ref="F17:G17"/>
    <mergeCell ref="I17:J17"/>
    <mergeCell ref="K17:M17"/>
    <mergeCell ref="F18:G18"/>
    <mergeCell ref="I18:J18"/>
    <mergeCell ref="K18:M18"/>
    <mergeCell ref="F19:G19"/>
    <mergeCell ref="I19:J19"/>
    <mergeCell ref="K19:M19"/>
    <mergeCell ref="F20:G20"/>
    <mergeCell ref="I20:J20"/>
    <mergeCell ref="K20:M20"/>
    <mergeCell ref="F21:G21"/>
    <mergeCell ref="I21:J21"/>
    <mergeCell ref="K21:M21"/>
    <mergeCell ref="F22:G22"/>
    <mergeCell ref="I22:J22"/>
    <mergeCell ref="K22:M22"/>
    <mergeCell ref="F23:G23"/>
    <mergeCell ref="I23:J23"/>
    <mergeCell ref="K23:M23"/>
    <mergeCell ref="F24:G24"/>
    <mergeCell ref="I24:J24"/>
    <mergeCell ref="K24:M24"/>
    <mergeCell ref="F25:G25"/>
    <mergeCell ref="I25:J25"/>
    <mergeCell ref="K25:M25"/>
    <mergeCell ref="F26:G26"/>
    <mergeCell ref="I26:J26"/>
    <mergeCell ref="K26:M26"/>
    <mergeCell ref="F27:G27"/>
    <mergeCell ref="I27:J27"/>
    <mergeCell ref="K27:M27"/>
    <mergeCell ref="F28:G28"/>
    <mergeCell ref="I28:J28"/>
    <mergeCell ref="K28:M28"/>
    <mergeCell ref="F29:G29"/>
    <mergeCell ref="I29:J29"/>
    <mergeCell ref="K29:M29"/>
    <mergeCell ref="F30:G30"/>
    <mergeCell ref="I30:J30"/>
    <mergeCell ref="K30:M30"/>
    <mergeCell ref="F31:G31"/>
    <mergeCell ref="I31:J31"/>
    <mergeCell ref="K31:M31"/>
    <mergeCell ref="F32:G32"/>
    <mergeCell ref="I32:J32"/>
    <mergeCell ref="K32:M32"/>
    <mergeCell ref="F33:G33"/>
    <mergeCell ref="I33:J33"/>
    <mergeCell ref="K33:M33"/>
    <mergeCell ref="F34:G34"/>
    <mergeCell ref="I34:J34"/>
    <mergeCell ref="K34:M34"/>
    <mergeCell ref="F35:G35"/>
    <mergeCell ref="I35:J35"/>
    <mergeCell ref="K35:M35"/>
  </mergeCells>
  <pageMargins left="0.7" right="0.7" top="0.75" bottom="0.75" header="0.3" footer="0.3"/>
  <pageSetup paperSize="9" scale="6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I57"/>
  <sheetViews>
    <sheetView topLeftCell="A28" workbookViewId="0">
      <selection sqref="A1:XFD1048576"/>
    </sheetView>
  </sheetViews>
  <sheetFormatPr defaultRowHeight="15.75"/>
  <cols>
    <col min="1" max="1" width="3.28515625" style="64" bestFit="1" customWidth="1"/>
    <col min="2" max="2" width="43.7109375" style="73" customWidth="1"/>
    <col min="3" max="4" width="9.140625" style="64"/>
    <col min="5" max="5" width="13.5703125" style="64" bestFit="1" customWidth="1"/>
    <col min="6" max="6" width="12" style="64" customWidth="1"/>
    <col min="7" max="7" width="22.85546875" style="64" customWidth="1"/>
    <col min="8" max="8" width="15.85546875" style="64" customWidth="1"/>
    <col min="9" max="9" width="10.85546875" style="64" bestFit="1" customWidth="1"/>
    <col min="10" max="10" width="10" style="64" bestFit="1" customWidth="1"/>
    <col min="11" max="16384" width="9.140625" style="64"/>
  </cols>
  <sheetData>
    <row r="2" spans="1:8" ht="18.75">
      <c r="B2" s="111" t="s">
        <v>127</v>
      </c>
      <c r="C2" s="111"/>
      <c r="D2" s="111"/>
      <c r="E2" s="111"/>
      <c r="F2" s="111"/>
      <c r="G2" s="111"/>
    </row>
    <row r="3" spans="1:8" ht="30" customHeight="1">
      <c r="A3" s="65" t="s">
        <v>0</v>
      </c>
      <c r="B3" s="66" t="s">
        <v>19</v>
      </c>
      <c r="C3" s="132" t="s">
        <v>20</v>
      </c>
      <c r="D3" s="133"/>
      <c r="E3" s="67" t="s">
        <v>21</v>
      </c>
      <c r="F3" s="67" t="s">
        <v>126</v>
      </c>
      <c r="G3" s="67" t="s">
        <v>22</v>
      </c>
      <c r="H3" s="101"/>
    </row>
    <row r="4" spans="1:8">
      <c r="A4" s="65"/>
      <c r="B4" s="82" t="s">
        <v>57</v>
      </c>
      <c r="C4" s="113"/>
      <c r="D4" s="115"/>
      <c r="E4" s="66"/>
      <c r="F4" s="66"/>
      <c r="G4" s="66"/>
      <c r="H4" s="101"/>
    </row>
    <row r="5" spans="1:8">
      <c r="A5" s="68">
        <v>1</v>
      </c>
      <c r="B5" s="69" t="s">
        <v>69</v>
      </c>
      <c r="C5" s="70" t="s">
        <v>58</v>
      </c>
      <c r="D5" s="70">
        <v>2</v>
      </c>
      <c r="E5" s="28">
        <v>1150</v>
      </c>
      <c r="F5" s="134">
        <v>1</v>
      </c>
      <c r="G5" s="28">
        <f>E5*D5*F5</f>
        <v>2300</v>
      </c>
      <c r="H5" s="31"/>
    </row>
    <row r="6" spans="1:8">
      <c r="A6" s="68">
        <v>2</v>
      </c>
      <c r="B6" s="69" t="s">
        <v>123</v>
      </c>
      <c r="C6" s="70" t="s">
        <v>124</v>
      </c>
      <c r="D6" s="99">
        <v>50</v>
      </c>
      <c r="E6" s="80">
        <v>20000</v>
      </c>
      <c r="F6" s="135"/>
      <c r="G6" s="28">
        <f>E6*D6/1000*F5</f>
        <v>1000</v>
      </c>
      <c r="H6" s="31"/>
    </row>
    <row r="7" spans="1:8">
      <c r="A7" s="68">
        <v>3</v>
      </c>
      <c r="B7" s="69" t="s">
        <v>31</v>
      </c>
      <c r="C7" s="70" t="s">
        <v>124</v>
      </c>
      <c r="D7" s="70">
        <v>5</v>
      </c>
      <c r="E7" s="80">
        <v>33000</v>
      </c>
      <c r="F7" s="135"/>
      <c r="G7" s="28">
        <f>E7*D7/1000*F5</f>
        <v>165</v>
      </c>
      <c r="H7" s="31"/>
    </row>
    <row r="8" spans="1:8">
      <c r="A8" s="68">
        <v>4</v>
      </c>
      <c r="B8" s="69" t="s">
        <v>70</v>
      </c>
      <c r="C8" s="70" t="s">
        <v>124</v>
      </c>
      <c r="D8" s="70">
        <v>250</v>
      </c>
      <c r="E8" s="80">
        <v>2500</v>
      </c>
      <c r="F8" s="135"/>
      <c r="G8" s="28">
        <f>E8*D8/1000*F5</f>
        <v>625</v>
      </c>
      <c r="H8" s="31"/>
    </row>
    <row r="9" spans="1:8">
      <c r="A9" s="68">
        <v>5</v>
      </c>
      <c r="B9" s="69" t="s">
        <v>99</v>
      </c>
      <c r="C9" s="70" t="s">
        <v>124</v>
      </c>
      <c r="D9" s="99">
        <v>60</v>
      </c>
      <c r="E9" s="80">
        <v>12500</v>
      </c>
      <c r="F9" s="135"/>
      <c r="G9" s="28">
        <f>E9*D9/1000*F5</f>
        <v>750</v>
      </c>
      <c r="H9" s="31"/>
    </row>
    <row r="10" spans="1:8">
      <c r="A10" s="68">
        <v>6</v>
      </c>
      <c r="B10" s="69" t="s">
        <v>106</v>
      </c>
      <c r="C10" s="70" t="s">
        <v>124</v>
      </c>
      <c r="D10" s="99">
        <v>5</v>
      </c>
      <c r="E10" s="80">
        <v>1000</v>
      </c>
      <c r="F10" s="136"/>
      <c r="G10" s="28">
        <f>E10*D10/1000*F5</f>
        <v>5</v>
      </c>
      <c r="H10" s="31"/>
    </row>
    <row r="11" spans="1:8">
      <c r="A11" s="68"/>
      <c r="B11" s="69"/>
      <c r="C11" s="70"/>
      <c r="D11" s="99"/>
      <c r="E11" s="80"/>
      <c r="F11" s="28"/>
      <c r="G11" s="71">
        <f>SUM(G5:G10)</f>
        <v>4845</v>
      </c>
      <c r="H11" s="31"/>
    </row>
    <row r="12" spans="1:8">
      <c r="A12" s="68"/>
      <c r="B12" s="82" t="s">
        <v>59</v>
      </c>
      <c r="C12" s="69"/>
      <c r="D12" s="69"/>
      <c r="E12" s="69"/>
      <c r="F12" s="69"/>
      <c r="G12" s="77"/>
      <c r="H12" s="31"/>
    </row>
    <row r="13" spans="1:8">
      <c r="A13" s="68">
        <v>1</v>
      </c>
      <c r="B13" s="69" t="s">
        <v>101</v>
      </c>
      <c r="C13" s="70" t="s">
        <v>124</v>
      </c>
      <c r="D13" s="70">
        <v>150</v>
      </c>
      <c r="E13" s="28">
        <v>56000</v>
      </c>
      <c r="F13" s="134">
        <v>1</v>
      </c>
      <c r="G13" s="28">
        <f>E13*D13/1000*F13</f>
        <v>8400</v>
      </c>
      <c r="H13" s="31"/>
    </row>
    <row r="14" spans="1:8">
      <c r="A14" s="68">
        <v>2</v>
      </c>
      <c r="B14" s="69" t="s">
        <v>97</v>
      </c>
      <c r="C14" s="70" t="s">
        <v>124</v>
      </c>
      <c r="D14" s="70">
        <v>300</v>
      </c>
      <c r="E14" s="28">
        <v>6500</v>
      </c>
      <c r="F14" s="135"/>
      <c r="G14" s="28">
        <f>E14*D14/1000*F13</f>
        <v>1950</v>
      </c>
      <c r="H14" s="31"/>
    </row>
    <row r="15" spans="1:8">
      <c r="A15" s="68">
        <v>3</v>
      </c>
      <c r="B15" s="69" t="s">
        <v>123</v>
      </c>
      <c r="C15" s="70" t="s">
        <v>124</v>
      </c>
      <c r="D15" s="70">
        <v>60</v>
      </c>
      <c r="E15" s="28">
        <v>20000</v>
      </c>
      <c r="F15" s="135"/>
      <c r="G15" s="28">
        <f>E15*D15/1000*F13</f>
        <v>1200</v>
      </c>
      <c r="H15" s="31"/>
    </row>
    <row r="16" spans="1:8">
      <c r="A16" s="68">
        <v>4</v>
      </c>
      <c r="B16" s="69" t="s">
        <v>96</v>
      </c>
      <c r="C16" s="70" t="s">
        <v>124</v>
      </c>
      <c r="D16" s="70">
        <v>70</v>
      </c>
      <c r="E16" s="28">
        <v>2500</v>
      </c>
      <c r="F16" s="135"/>
      <c r="G16" s="28">
        <f>E16*D16/1000*F13</f>
        <v>175</v>
      </c>
      <c r="H16" s="31"/>
    </row>
    <row r="17" spans="1:8">
      <c r="A17" s="78">
        <v>5</v>
      </c>
      <c r="B17" s="100" t="s">
        <v>95</v>
      </c>
      <c r="C17" s="70" t="s">
        <v>124</v>
      </c>
      <c r="D17" s="70">
        <v>50</v>
      </c>
      <c r="E17" s="28">
        <v>4000</v>
      </c>
      <c r="F17" s="135"/>
      <c r="G17" s="28">
        <f>E17*D17/1000*F13</f>
        <v>200</v>
      </c>
      <c r="H17" s="31"/>
    </row>
    <row r="18" spans="1:8">
      <c r="A18" s="68">
        <v>6</v>
      </c>
      <c r="B18" s="69" t="s">
        <v>106</v>
      </c>
      <c r="C18" s="70" t="s">
        <v>124</v>
      </c>
      <c r="D18" s="99">
        <v>5</v>
      </c>
      <c r="E18" s="80">
        <v>1000</v>
      </c>
      <c r="F18" s="135"/>
      <c r="G18" s="28">
        <f>E18*D18/1000*F13</f>
        <v>5</v>
      </c>
      <c r="H18" s="31"/>
    </row>
    <row r="19" spans="1:8">
      <c r="A19" s="78">
        <v>7</v>
      </c>
      <c r="B19" s="100" t="s">
        <v>107</v>
      </c>
      <c r="C19" s="70" t="s">
        <v>124</v>
      </c>
      <c r="D19" s="70">
        <v>70</v>
      </c>
      <c r="E19" s="28">
        <v>2500</v>
      </c>
      <c r="F19" s="135"/>
      <c r="G19" s="28">
        <f>E19*D19/1000*F13</f>
        <v>175</v>
      </c>
      <c r="H19" s="31"/>
    </row>
    <row r="20" spans="1:8">
      <c r="A20" s="78">
        <v>8</v>
      </c>
      <c r="B20" s="100" t="s">
        <v>109</v>
      </c>
      <c r="C20" s="70" t="s">
        <v>124</v>
      </c>
      <c r="D20" s="70">
        <v>70</v>
      </c>
      <c r="E20" s="28">
        <v>3000</v>
      </c>
      <c r="F20" s="135"/>
      <c r="G20" s="28">
        <f>E20*D20/1000*F13</f>
        <v>210</v>
      </c>
      <c r="H20" s="31"/>
    </row>
    <row r="21" spans="1:8">
      <c r="A21" s="78">
        <v>9</v>
      </c>
      <c r="B21" s="100" t="s">
        <v>70</v>
      </c>
      <c r="C21" s="70" t="s">
        <v>124</v>
      </c>
      <c r="D21" s="70">
        <v>250</v>
      </c>
      <c r="E21" s="28">
        <v>2500</v>
      </c>
      <c r="F21" s="135"/>
      <c r="G21" s="28">
        <f>E21*D21/1000*F13</f>
        <v>625</v>
      </c>
      <c r="H21" s="31"/>
    </row>
    <row r="22" spans="1:8">
      <c r="A22" s="78">
        <v>10</v>
      </c>
      <c r="B22" s="100" t="s">
        <v>31</v>
      </c>
      <c r="C22" s="70" t="s">
        <v>124</v>
      </c>
      <c r="D22" s="70">
        <v>5</v>
      </c>
      <c r="E22" s="28">
        <v>33000</v>
      </c>
      <c r="F22" s="135"/>
      <c r="G22" s="28">
        <f>E22*D22/1000*F13</f>
        <v>165</v>
      </c>
      <c r="H22" s="31"/>
    </row>
    <row r="23" spans="1:8">
      <c r="A23" s="78">
        <v>11</v>
      </c>
      <c r="B23" s="100" t="s">
        <v>99</v>
      </c>
      <c r="C23" s="70" t="s">
        <v>124</v>
      </c>
      <c r="D23" s="70">
        <v>60</v>
      </c>
      <c r="E23" s="28">
        <v>12500</v>
      </c>
      <c r="F23" s="136"/>
      <c r="G23" s="28">
        <f>E23*D23/1000*F13</f>
        <v>750</v>
      </c>
      <c r="H23" s="31"/>
    </row>
    <row r="24" spans="1:8">
      <c r="A24" s="78"/>
      <c r="B24" s="100"/>
      <c r="C24" s="70"/>
      <c r="D24" s="70"/>
      <c r="E24" s="28"/>
      <c r="F24" s="28"/>
      <c r="G24" s="71">
        <f>SUM(G13:G23)</f>
        <v>13855</v>
      </c>
      <c r="H24" s="31"/>
    </row>
    <row r="25" spans="1:8" ht="15">
      <c r="A25" s="78"/>
      <c r="B25" s="83" t="s">
        <v>63</v>
      </c>
      <c r="C25" s="68"/>
      <c r="D25" s="68"/>
      <c r="E25" s="68"/>
      <c r="F25" s="68"/>
      <c r="G25" s="72"/>
      <c r="H25" s="31"/>
    </row>
    <row r="26" spans="1:8">
      <c r="A26" s="68">
        <v>1</v>
      </c>
      <c r="B26" s="69" t="s">
        <v>101</v>
      </c>
      <c r="C26" s="70" t="s">
        <v>124</v>
      </c>
      <c r="D26" s="70">
        <v>150</v>
      </c>
      <c r="E26" s="28">
        <v>56000</v>
      </c>
      <c r="F26" s="134">
        <v>1</v>
      </c>
      <c r="G26" s="29">
        <f>E26*D26/1000*F26</f>
        <v>8400</v>
      </c>
      <c r="H26" s="31"/>
    </row>
    <row r="27" spans="1:8">
      <c r="A27" s="68">
        <v>2</v>
      </c>
      <c r="B27" s="69" t="s">
        <v>103</v>
      </c>
      <c r="C27" s="70" t="s">
        <v>124</v>
      </c>
      <c r="D27" s="70">
        <v>50</v>
      </c>
      <c r="E27" s="28">
        <v>12000</v>
      </c>
      <c r="F27" s="135"/>
      <c r="G27" s="29">
        <f>E27*D27/1000*F26</f>
        <v>600</v>
      </c>
      <c r="H27" s="31"/>
    </row>
    <row r="28" spans="1:8">
      <c r="A28" s="68">
        <v>3</v>
      </c>
      <c r="B28" s="69" t="s">
        <v>104</v>
      </c>
      <c r="C28" s="70" t="s">
        <v>124</v>
      </c>
      <c r="D28" s="70">
        <v>30</v>
      </c>
      <c r="E28" s="28">
        <v>12000</v>
      </c>
      <c r="F28" s="135"/>
      <c r="G28" s="29">
        <f>E28*D28/1000*F26</f>
        <v>360</v>
      </c>
      <c r="H28" s="31"/>
    </row>
    <row r="29" spans="1:8">
      <c r="A29" s="68">
        <v>4</v>
      </c>
      <c r="B29" s="69" t="s">
        <v>97</v>
      </c>
      <c r="C29" s="70" t="s">
        <v>124</v>
      </c>
      <c r="D29" s="70">
        <v>100</v>
      </c>
      <c r="E29" s="28">
        <v>6500</v>
      </c>
      <c r="F29" s="135"/>
      <c r="G29" s="29">
        <f>E29*D29/1000*F26</f>
        <v>650</v>
      </c>
      <c r="H29" s="31"/>
    </row>
    <row r="30" spans="1:8">
      <c r="A30" s="68">
        <v>5</v>
      </c>
      <c r="B30" s="69" t="s">
        <v>95</v>
      </c>
      <c r="C30" s="70" t="s">
        <v>124</v>
      </c>
      <c r="D30" s="70">
        <v>40</v>
      </c>
      <c r="E30" s="28">
        <v>4000</v>
      </c>
      <c r="F30" s="135"/>
      <c r="G30" s="29">
        <f>E30*D30/1000*F26</f>
        <v>160</v>
      </c>
      <c r="H30" s="31"/>
    </row>
    <row r="31" spans="1:8">
      <c r="A31" s="68">
        <v>6</v>
      </c>
      <c r="B31" s="69" t="s">
        <v>96</v>
      </c>
      <c r="C31" s="70" t="s">
        <v>124</v>
      </c>
      <c r="D31" s="70">
        <v>30</v>
      </c>
      <c r="E31" s="28">
        <v>2500</v>
      </c>
      <c r="F31" s="135"/>
      <c r="G31" s="29">
        <f>E31*D31/1000*F26</f>
        <v>75</v>
      </c>
      <c r="H31" s="31"/>
    </row>
    <row r="32" spans="1:8">
      <c r="A32" s="68">
        <v>7</v>
      </c>
      <c r="B32" s="69" t="s">
        <v>105</v>
      </c>
      <c r="C32" s="70" t="s">
        <v>124</v>
      </c>
      <c r="D32" s="70">
        <v>10</v>
      </c>
      <c r="E32" s="28">
        <v>21000</v>
      </c>
      <c r="F32" s="135"/>
      <c r="G32" s="29">
        <f>E32*D32/1000*F26</f>
        <v>210</v>
      </c>
      <c r="H32" s="31"/>
    </row>
    <row r="33" spans="1:9">
      <c r="A33" s="68">
        <v>8</v>
      </c>
      <c r="B33" s="69" t="s">
        <v>106</v>
      </c>
      <c r="C33" s="70" t="s">
        <v>124</v>
      </c>
      <c r="D33" s="70">
        <v>5</v>
      </c>
      <c r="E33" s="28">
        <v>1000</v>
      </c>
      <c r="F33" s="135"/>
      <c r="G33" s="29">
        <f>E33*D33/1000*F26</f>
        <v>5</v>
      </c>
      <c r="H33" s="31"/>
    </row>
    <row r="34" spans="1:9">
      <c r="A34" s="68">
        <v>9</v>
      </c>
      <c r="B34" s="69" t="s">
        <v>28</v>
      </c>
      <c r="C34" s="70" t="s">
        <v>124</v>
      </c>
      <c r="D34" s="70">
        <v>200</v>
      </c>
      <c r="E34" s="28">
        <v>2500</v>
      </c>
      <c r="F34" s="135"/>
      <c r="G34" s="29">
        <f>E34*D34/1000*F26</f>
        <v>500</v>
      </c>
      <c r="H34" s="31"/>
    </row>
    <row r="35" spans="1:9">
      <c r="A35" s="68">
        <v>10</v>
      </c>
      <c r="B35" s="69" t="s">
        <v>14</v>
      </c>
      <c r="C35" s="70" t="s">
        <v>124</v>
      </c>
      <c r="D35" s="70">
        <v>5</v>
      </c>
      <c r="E35" s="28">
        <v>33000</v>
      </c>
      <c r="F35" s="135"/>
      <c r="G35" s="29">
        <f>E35*D35/1000*F26</f>
        <v>165</v>
      </c>
      <c r="H35" s="31"/>
    </row>
    <row r="36" spans="1:9">
      <c r="A36" s="68">
        <v>11</v>
      </c>
      <c r="B36" s="69" t="s">
        <v>99</v>
      </c>
      <c r="C36" s="70" t="s">
        <v>124</v>
      </c>
      <c r="D36" s="70">
        <v>60</v>
      </c>
      <c r="E36" s="28">
        <v>12500</v>
      </c>
      <c r="F36" s="136"/>
      <c r="G36" s="29">
        <f>E36*D36/1000*F26</f>
        <v>750</v>
      </c>
      <c r="H36" s="31"/>
    </row>
    <row r="37" spans="1:9">
      <c r="A37" s="68"/>
      <c r="B37" s="69"/>
      <c r="C37" s="70"/>
      <c r="D37" s="70"/>
      <c r="E37" s="28"/>
      <c r="F37" s="28"/>
      <c r="G37" s="72">
        <f>SUM(G26:G36)</f>
        <v>11875</v>
      </c>
      <c r="H37" s="31"/>
    </row>
    <row r="38" spans="1:9">
      <c r="A38" s="68"/>
      <c r="B38" s="69"/>
      <c r="C38" s="70"/>
      <c r="D38" s="70"/>
      <c r="E38" s="28"/>
      <c r="F38" s="28"/>
      <c r="G38" s="72"/>
      <c r="H38" s="31"/>
    </row>
    <row r="39" spans="1:9">
      <c r="A39" s="68"/>
      <c r="B39" s="66" t="s">
        <v>33</v>
      </c>
      <c r="C39" s="67"/>
      <c r="D39" s="67"/>
      <c r="E39" s="71"/>
      <c r="F39" s="71"/>
      <c r="G39" s="72">
        <f>G37+G24+G11</f>
        <v>30575</v>
      </c>
      <c r="H39" s="102"/>
    </row>
    <row r="40" spans="1:9">
      <c r="A40" s="68"/>
      <c r="B40" s="69" t="s">
        <v>34</v>
      </c>
      <c r="C40" s="70"/>
      <c r="D40" s="70"/>
      <c r="E40" s="28"/>
      <c r="F40" s="28"/>
      <c r="G40" s="29">
        <f>G39*10%</f>
        <v>3057.5</v>
      </c>
      <c r="H40" s="31"/>
    </row>
    <row r="41" spans="1:9">
      <c r="A41" s="68"/>
      <c r="B41" s="69"/>
      <c r="C41" s="70"/>
      <c r="D41" s="70"/>
      <c r="E41" s="28"/>
      <c r="F41" s="28"/>
      <c r="G41" s="72">
        <f>G39+G40</f>
        <v>33632.5</v>
      </c>
      <c r="H41" s="102"/>
    </row>
    <row r="42" spans="1:9">
      <c r="A42" s="68"/>
      <c r="B42" s="69" t="s">
        <v>35</v>
      </c>
      <c r="C42" s="70"/>
      <c r="D42" s="70"/>
      <c r="E42" s="28"/>
      <c r="F42" s="28"/>
      <c r="G42" s="29">
        <f>G41*15%</f>
        <v>5044.875</v>
      </c>
      <c r="H42" s="31"/>
    </row>
    <row r="43" spans="1:9">
      <c r="A43" s="68"/>
      <c r="B43" s="69" t="s">
        <v>65</v>
      </c>
      <c r="C43" s="70" t="s">
        <v>58</v>
      </c>
      <c r="D43" s="70"/>
      <c r="E43" s="28">
        <v>0</v>
      </c>
      <c r="F43" s="28">
        <v>2000</v>
      </c>
      <c r="G43" s="29">
        <f>E43*F43</f>
        <v>0</v>
      </c>
      <c r="H43" s="31"/>
    </row>
    <row r="44" spans="1:9">
      <c r="A44" s="65"/>
      <c r="B44" s="66" t="s">
        <v>36</v>
      </c>
      <c r="C44" s="67"/>
      <c r="D44" s="67"/>
      <c r="E44" s="71"/>
      <c r="F44" s="71"/>
      <c r="G44" s="72">
        <f>G41+G42+G43</f>
        <v>38677.375</v>
      </c>
      <c r="H44" s="102"/>
    </row>
    <row r="45" spans="1:9" ht="15.75" customHeight="1">
      <c r="A45" s="116" t="s">
        <v>125</v>
      </c>
      <c r="B45" s="116"/>
      <c r="C45" s="116"/>
      <c r="D45" s="116"/>
      <c r="E45" s="116"/>
      <c r="F45" s="116"/>
      <c r="G45" s="116"/>
      <c r="H45" s="74"/>
    </row>
    <row r="46" spans="1:9" ht="15.75" customHeight="1">
      <c r="A46" s="80"/>
      <c r="B46" s="117" t="s">
        <v>122</v>
      </c>
      <c r="C46" s="118"/>
      <c r="D46" s="118"/>
      <c r="E46" s="118"/>
      <c r="F46" s="119"/>
      <c r="G46" s="103">
        <f>G44</f>
        <v>38677.375</v>
      </c>
      <c r="H46" s="74"/>
      <c r="I46" s="74"/>
    </row>
    <row r="47" spans="1:9" ht="15.75" customHeight="1">
      <c r="A47" s="79"/>
      <c r="B47" s="79"/>
      <c r="C47" s="79"/>
      <c r="D47" s="79"/>
      <c r="E47" s="79"/>
      <c r="F47" s="79"/>
      <c r="G47" s="79"/>
      <c r="H47" s="74"/>
    </row>
    <row r="49" spans="2:7" ht="18.75">
      <c r="B49" s="75" t="s">
        <v>40</v>
      </c>
      <c r="E49" s="112" t="s">
        <v>55</v>
      </c>
      <c r="F49" s="112"/>
      <c r="G49" s="112"/>
    </row>
    <row r="50" spans="2:7" ht="18.75">
      <c r="B50" s="75" t="s">
        <v>41</v>
      </c>
      <c r="E50" s="112" t="s">
        <v>55</v>
      </c>
      <c r="F50" s="112"/>
      <c r="G50" s="112"/>
    </row>
    <row r="51" spans="2:7" ht="18.75">
      <c r="B51" s="75" t="s">
        <v>42</v>
      </c>
      <c r="E51" s="112" t="s">
        <v>55</v>
      </c>
      <c r="F51" s="112"/>
      <c r="G51" s="112"/>
    </row>
    <row r="52" spans="2:7" ht="18.75">
      <c r="B52" s="75" t="s">
        <v>43</v>
      </c>
      <c r="E52" s="112" t="s">
        <v>55</v>
      </c>
      <c r="F52" s="112"/>
      <c r="G52" s="112"/>
    </row>
    <row r="53" spans="2:7" ht="18.75">
      <c r="B53" s="75" t="s">
        <v>44</v>
      </c>
      <c r="E53" s="112" t="s">
        <v>55</v>
      </c>
      <c r="F53" s="112"/>
      <c r="G53" s="112"/>
    </row>
    <row r="54" spans="2:7" ht="18.75">
      <c r="B54" s="76"/>
      <c r="E54" s="112" t="s">
        <v>55</v>
      </c>
      <c r="F54" s="112"/>
      <c r="G54" s="112"/>
    </row>
    <row r="55" spans="2:7" ht="18.75">
      <c r="B55" s="76"/>
      <c r="F55" s="112"/>
      <c r="G55" s="112"/>
    </row>
    <row r="56" spans="2:7" ht="18.75">
      <c r="B56" s="75" t="s">
        <v>45</v>
      </c>
      <c r="E56" s="112" t="s">
        <v>56</v>
      </c>
      <c r="F56" s="112"/>
      <c r="G56" s="112"/>
    </row>
    <row r="57" spans="2:7" ht="18.75">
      <c r="B57" s="75"/>
    </row>
  </sheetData>
  <mergeCells count="16">
    <mergeCell ref="E56:G56"/>
    <mergeCell ref="B2:G2"/>
    <mergeCell ref="A45:G45"/>
    <mergeCell ref="B46:F46"/>
    <mergeCell ref="E49:G49"/>
    <mergeCell ref="E50:G50"/>
    <mergeCell ref="C3:D3"/>
    <mergeCell ref="C4:D4"/>
    <mergeCell ref="F5:F10"/>
    <mergeCell ref="F13:F23"/>
    <mergeCell ref="F26:F36"/>
    <mergeCell ref="E51:G51"/>
    <mergeCell ref="E52:G52"/>
    <mergeCell ref="E53:G53"/>
    <mergeCell ref="E54:G54"/>
    <mergeCell ref="F55:G55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59"/>
  <sheetViews>
    <sheetView workbookViewId="0">
      <selection sqref="A1:XFD1048576"/>
    </sheetView>
  </sheetViews>
  <sheetFormatPr defaultRowHeight="15.75"/>
  <cols>
    <col min="1" max="1" width="3.28515625" style="64" bestFit="1" customWidth="1"/>
    <col min="2" max="2" width="31.85546875" style="73" customWidth="1"/>
    <col min="3" max="4" width="9.140625" style="64"/>
    <col min="5" max="5" width="13.5703125" style="64" bestFit="1" customWidth="1"/>
    <col min="6" max="7" width="13.5703125" style="64" customWidth="1"/>
    <col min="8" max="8" width="12" style="64" customWidth="1"/>
    <col min="9" max="9" width="22.85546875" style="64" customWidth="1"/>
    <col min="10" max="10" width="15.85546875" style="64" customWidth="1"/>
    <col min="11" max="11" width="10.85546875" style="64" bestFit="1" customWidth="1"/>
    <col min="12" max="12" width="10" style="64" bestFit="1" customWidth="1"/>
    <col min="13" max="16384" width="9.140625" style="64"/>
  </cols>
  <sheetData>
    <row r="2" spans="1:10" ht="18.75">
      <c r="B2" s="111" t="s">
        <v>127</v>
      </c>
      <c r="C2" s="111"/>
      <c r="D2" s="111"/>
      <c r="E2" s="111"/>
      <c r="F2" s="111"/>
      <c r="G2" s="111"/>
      <c r="H2" s="111"/>
      <c r="I2" s="111"/>
    </row>
    <row r="3" spans="1:10">
      <c r="A3" s="65" t="s">
        <v>0</v>
      </c>
      <c r="B3" s="66" t="s">
        <v>19</v>
      </c>
      <c r="C3" s="132" t="s">
        <v>20</v>
      </c>
      <c r="D3" s="133"/>
      <c r="E3" s="67" t="s">
        <v>21</v>
      </c>
      <c r="F3" s="66" t="s">
        <v>129</v>
      </c>
      <c r="G3" s="66" t="s">
        <v>130</v>
      </c>
      <c r="H3" s="67" t="s">
        <v>126</v>
      </c>
      <c r="I3" s="67" t="s">
        <v>22</v>
      </c>
      <c r="J3" s="101"/>
    </row>
    <row r="4" spans="1:10">
      <c r="A4" s="65"/>
      <c r="B4" s="82" t="s">
        <v>57</v>
      </c>
      <c r="C4" s="113"/>
      <c r="D4" s="115"/>
      <c r="E4" s="66"/>
      <c r="F4" s="66"/>
      <c r="G4" s="66"/>
      <c r="H4" s="66"/>
      <c r="I4" s="66"/>
      <c r="J4" s="101"/>
    </row>
    <row r="5" spans="1:10">
      <c r="A5" s="68">
        <v>1</v>
      </c>
      <c r="B5" s="69" t="s">
        <v>69</v>
      </c>
      <c r="C5" s="70" t="s">
        <v>58</v>
      </c>
      <c r="D5" s="70">
        <v>2</v>
      </c>
      <c r="E5" s="28">
        <v>1150</v>
      </c>
      <c r="F5" s="134">
        <v>190</v>
      </c>
      <c r="G5" s="134">
        <v>36</v>
      </c>
      <c r="H5" s="134">
        <f>G5*F5</f>
        <v>6840</v>
      </c>
      <c r="I5" s="28">
        <f>E5*D5*H5</f>
        <v>15732000</v>
      </c>
      <c r="J5" s="31"/>
    </row>
    <row r="6" spans="1:10">
      <c r="A6" s="68">
        <v>2</v>
      </c>
      <c r="B6" s="69" t="s">
        <v>123</v>
      </c>
      <c r="C6" s="70" t="s">
        <v>124</v>
      </c>
      <c r="D6" s="99">
        <v>50</v>
      </c>
      <c r="E6" s="80">
        <v>20000</v>
      </c>
      <c r="F6" s="135"/>
      <c r="G6" s="135"/>
      <c r="H6" s="135"/>
      <c r="I6" s="28">
        <f>E6*D6/1000*H5</f>
        <v>6840000</v>
      </c>
      <c r="J6" s="31"/>
    </row>
    <row r="7" spans="1:10">
      <c r="A7" s="68">
        <v>3</v>
      </c>
      <c r="B7" s="69" t="s">
        <v>128</v>
      </c>
      <c r="C7" s="70" t="s">
        <v>124</v>
      </c>
      <c r="D7" s="70">
        <v>10</v>
      </c>
      <c r="E7" s="80">
        <v>33000</v>
      </c>
      <c r="F7" s="135"/>
      <c r="G7" s="135"/>
      <c r="H7" s="135"/>
      <c r="I7" s="28">
        <f>E7*D7/1000*H5</f>
        <v>2257200</v>
      </c>
      <c r="J7" s="31"/>
    </row>
    <row r="8" spans="1:10">
      <c r="A8" s="68">
        <v>4</v>
      </c>
      <c r="B8" s="69" t="s">
        <v>28</v>
      </c>
      <c r="C8" s="70" t="s">
        <v>124</v>
      </c>
      <c r="D8" s="70">
        <v>300</v>
      </c>
      <c r="E8" s="80">
        <v>2500</v>
      </c>
      <c r="F8" s="135"/>
      <c r="G8" s="135"/>
      <c r="H8" s="135"/>
      <c r="I8" s="28">
        <f>E8*D8/1000*H5</f>
        <v>5130000</v>
      </c>
      <c r="J8" s="31"/>
    </row>
    <row r="9" spans="1:10">
      <c r="A9" s="68">
        <v>5</v>
      </c>
      <c r="B9" s="69" t="s">
        <v>99</v>
      </c>
      <c r="C9" s="70" t="s">
        <v>124</v>
      </c>
      <c r="D9" s="99">
        <v>20</v>
      </c>
      <c r="E9" s="80">
        <v>12500</v>
      </c>
      <c r="F9" s="135"/>
      <c r="G9" s="135"/>
      <c r="H9" s="135"/>
      <c r="I9" s="28">
        <f>E9*D9/1000*H5</f>
        <v>1710000</v>
      </c>
      <c r="J9" s="31"/>
    </row>
    <row r="10" spans="1:10">
      <c r="A10" s="68">
        <v>6</v>
      </c>
      <c r="B10" s="69" t="s">
        <v>106</v>
      </c>
      <c r="C10" s="70" t="s">
        <v>124</v>
      </c>
      <c r="D10" s="99">
        <v>5</v>
      </c>
      <c r="E10" s="80">
        <v>1000</v>
      </c>
      <c r="F10" s="136"/>
      <c r="G10" s="136"/>
      <c r="H10" s="136"/>
      <c r="I10" s="28">
        <f>E10*D10/1000*H5</f>
        <v>34200</v>
      </c>
      <c r="J10" s="31"/>
    </row>
    <row r="11" spans="1:10">
      <c r="A11" s="68"/>
      <c r="B11" s="69"/>
      <c r="C11" s="70"/>
      <c r="D11" s="99"/>
      <c r="E11" s="80"/>
      <c r="F11" s="80"/>
      <c r="G11" s="80"/>
      <c r="H11" s="28"/>
      <c r="I11" s="71">
        <f>SUM(I5:I10)</f>
        <v>31703400</v>
      </c>
      <c r="J11" s="31"/>
    </row>
    <row r="12" spans="1:10">
      <c r="A12" s="68"/>
      <c r="B12" s="82" t="s">
        <v>59</v>
      </c>
      <c r="C12" s="69"/>
      <c r="D12" s="69"/>
      <c r="E12" s="69"/>
      <c r="F12" s="69"/>
      <c r="G12" s="69"/>
      <c r="H12" s="69"/>
      <c r="I12" s="77"/>
      <c r="J12" s="31"/>
    </row>
    <row r="13" spans="1:10">
      <c r="A13" s="68">
        <v>1</v>
      </c>
      <c r="B13" s="69" t="s">
        <v>101</v>
      </c>
      <c r="C13" s="70" t="s">
        <v>124</v>
      </c>
      <c r="D13" s="70">
        <v>150</v>
      </c>
      <c r="E13" s="28">
        <v>56000</v>
      </c>
      <c r="F13" s="134">
        <v>420</v>
      </c>
      <c r="G13" s="134">
        <v>36</v>
      </c>
      <c r="H13" s="134">
        <f>420*36</f>
        <v>15120</v>
      </c>
      <c r="I13" s="28">
        <f>E13*D13/1000*H13</f>
        <v>127008000</v>
      </c>
      <c r="J13" s="31"/>
    </row>
    <row r="14" spans="1:10">
      <c r="A14" s="68">
        <v>2</v>
      </c>
      <c r="B14" s="69" t="s">
        <v>97</v>
      </c>
      <c r="C14" s="70" t="s">
        <v>124</v>
      </c>
      <c r="D14" s="70">
        <v>250</v>
      </c>
      <c r="E14" s="28">
        <v>6500</v>
      </c>
      <c r="F14" s="135"/>
      <c r="G14" s="135"/>
      <c r="H14" s="135"/>
      <c r="I14" s="28">
        <f>E14*D14/1000*H13</f>
        <v>24570000</v>
      </c>
      <c r="J14" s="31"/>
    </row>
    <row r="15" spans="1:10">
      <c r="A15" s="68">
        <v>3</v>
      </c>
      <c r="B15" s="69" t="s">
        <v>123</v>
      </c>
      <c r="C15" s="70" t="s">
        <v>124</v>
      </c>
      <c r="D15" s="70">
        <v>60</v>
      </c>
      <c r="E15" s="28">
        <v>20000</v>
      </c>
      <c r="F15" s="135"/>
      <c r="G15" s="135"/>
      <c r="H15" s="135"/>
      <c r="I15" s="28">
        <f>E15*D15/1000*H13</f>
        <v>18144000</v>
      </c>
      <c r="J15" s="31"/>
    </row>
    <row r="16" spans="1:10">
      <c r="A16" s="68">
        <v>4</v>
      </c>
      <c r="B16" s="69" t="s">
        <v>96</v>
      </c>
      <c r="C16" s="70" t="s">
        <v>124</v>
      </c>
      <c r="D16" s="70">
        <v>150</v>
      </c>
      <c r="E16" s="28">
        <v>2500</v>
      </c>
      <c r="F16" s="135"/>
      <c r="G16" s="135"/>
      <c r="H16" s="135"/>
      <c r="I16" s="28">
        <f>E16*D16/1000*H13</f>
        <v>5670000</v>
      </c>
      <c r="J16" s="31"/>
    </row>
    <row r="17" spans="1:11">
      <c r="A17" s="78">
        <v>5</v>
      </c>
      <c r="B17" s="100" t="s">
        <v>95</v>
      </c>
      <c r="C17" s="70" t="s">
        <v>124</v>
      </c>
      <c r="D17" s="70">
        <v>80</v>
      </c>
      <c r="E17" s="28">
        <v>4000</v>
      </c>
      <c r="F17" s="135"/>
      <c r="G17" s="135"/>
      <c r="H17" s="135"/>
      <c r="I17" s="28">
        <f>E17*D17/1000*H13</f>
        <v>4838400</v>
      </c>
      <c r="J17" s="31"/>
    </row>
    <row r="18" spans="1:11">
      <c r="A18" s="68">
        <v>6</v>
      </c>
      <c r="B18" s="69" t="s">
        <v>106</v>
      </c>
      <c r="C18" s="70" t="s">
        <v>124</v>
      </c>
      <c r="D18" s="99">
        <v>5</v>
      </c>
      <c r="E18" s="80">
        <v>1000</v>
      </c>
      <c r="F18" s="135"/>
      <c r="G18" s="135"/>
      <c r="H18" s="135"/>
      <c r="I18" s="28">
        <f>E18*D18/1000*H13</f>
        <v>75600</v>
      </c>
      <c r="J18" s="31">
        <f>20*H13/1000</f>
        <v>302.39999999999998</v>
      </c>
    </row>
    <row r="19" spans="1:11">
      <c r="A19" s="78">
        <v>7</v>
      </c>
      <c r="B19" s="100" t="s">
        <v>107</v>
      </c>
      <c r="C19" s="70" t="s">
        <v>124</v>
      </c>
      <c r="D19" s="70">
        <v>70</v>
      </c>
      <c r="E19" s="28">
        <v>2500</v>
      </c>
      <c r="F19" s="135"/>
      <c r="G19" s="135"/>
      <c r="H19" s="135"/>
      <c r="I19" s="28">
        <f>E19*D19/1000*H13</f>
        <v>2646000</v>
      </c>
      <c r="J19" s="31"/>
    </row>
    <row r="20" spans="1:11">
      <c r="A20" s="78">
        <v>8</v>
      </c>
      <c r="B20" s="100" t="s">
        <v>109</v>
      </c>
      <c r="C20" s="70" t="s">
        <v>124</v>
      </c>
      <c r="D20" s="70">
        <v>70</v>
      </c>
      <c r="E20" s="28">
        <v>3000</v>
      </c>
      <c r="F20" s="135"/>
      <c r="G20" s="135"/>
      <c r="H20" s="135"/>
      <c r="I20" s="28">
        <f>E20*D20/1000*H13</f>
        <v>3175200</v>
      </c>
      <c r="J20" s="31"/>
    </row>
    <row r="21" spans="1:11">
      <c r="A21" s="78">
        <v>9</v>
      </c>
      <c r="B21" s="100" t="s">
        <v>28</v>
      </c>
      <c r="C21" s="70" t="s">
        <v>124</v>
      </c>
      <c r="D21" s="70">
        <v>250</v>
      </c>
      <c r="E21" s="28">
        <v>2500</v>
      </c>
      <c r="F21" s="135"/>
      <c r="G21" s="135"/>
      <c r="H21" s="135"/>
      <c r="I21" s="28">
        <f>E21*D21/1000*H13</f>
        <v>9450000</v>
      </c>
      <c r="J21" s="31"/>
    </row>
    <row r="22" spans="1:11">
      <c r="A22" s="78">
        <v>10</v>
      </c>
      <c r="B22" s="100" t="s">
        <v>14</v>
      </c>
      <c r="C22" s="70" t="s">
        <v>124</v>
      </c>
      <c r="D22" s="70">
        <v>5</v>
      </c>
      <c r="E22" s="28">
        <v>33000</v>
      </c>
      <c r="F22" s="135"/>
      <c r="G22" s="135"/>
      <c r="H22" s="135"/>
      <c r="I22" s="28">
        <f>E22*D22/1000*H13</f>
        <v>2494800</v>
      </c>
      <c r="J22" s="31"/>
    </row>
    <row r="23" spans="1:11">
      <c r="A23" s="78">
        <v>11</v>
      </c>
      <c r="B23" s="100" t="s">
        <v>99</v>
      </c>
      <c r="C23" s="70" t="s">
        <v>124</v>
      </c>
      <c r="D23" s="70">
        <v>20</v>
      </c>
      <c r="E23" s="28">
        <v>12500</v>
      </c>
      <c r="F23" s="136"/>
      <c r="G23" s="136"/>
      <c r="H23" s="136"/>
      <c r="I23" s="28">
        <f>E23*D23/1000*H13</f>
        <v>3780000</v>
      </c>
      <c r="J23" s="31"/>
    </row>
    <row r="24" spans="1:11">
      <c r="A24" s="78"/>
      <c r="B24" s="100"/>
      <c r="C24" s="70"/>
      <c r="D24" s="70"/>
      <c r="E24" s="28"/>
      <c r="F24" s="28"/>
      <c r="G24" s="28"/>
      <c r="H24" s="28"/>
      <c r="I24" s="71">
        <f>SUM(I13:I23)</f>
        <v>201852000</v>
      </c>
      <c r="J24" s="31"/>
    </row>
    <row r="25" spans="1:11" ht="15">
      <c r="A25" s="78"/>
      <c r="B25" s="98" t="s">
        <v>63</v>
      </c>
      <c r="C25" s="68"/>
      <c r="D25" s="68"/>
      <c r="E25" s="68"/>
      <c r="F25" s="68"/>
      <c r="G25" s="68"/>
      <c r="H25" s="68"/>
      <c r="I25" s="72"/>
      <c r="J25" s="31"/>
    </row>
    <row r="26" spans="1:11">
      <c r="A26" s="68">
        <v>1</v>
      </c>
      <c r="B26" s="69" t="s">
        <v>101</v>
      </c>
      <c r="C26" s="70" t="s">
        <v>124</v>
      </c>
      <c r="D26" s="70">
        <v>150</v>
      </c>
      <c r="E26" s="28">
        <v>56000</v>
      </c>
      <c r="F26" s="134">
        <v>190</v>
      </c>
      <c r="G26" s="134">
        <v>36</v>
      </c>
      <c r="H26" s="134">
        <f>190*36</f>
        <v>6840</v>
      </c>
      <c r="I26" s="29">
        <f>E26*D26/1000*H26</f>
        <v>57456000</v>
      </c>
      <c r="J26" s="31"/>
      <c r="K26" s="64">
        <f>6650*2+13650</f>
        <v>26950</v>
      </c>
    </row>
    <row r="27" spans="1:11">
      <c r="A27" s="68">
        <v>2</v>
      </c>
      <c r="B27" s="69" t="s">
        <v>103</v>
      </c>
      <c r="C27" s="70" t="s">
        <v>124</v>
      </c>
      <c r="D27" s="70">
        <v>50</v>
      </c>
      <c r="E27" s="28">
        <v>12000</v>
      </c>
      <c r="F27" s="135"/>
      <c r="G27" s="135"/>
      <c r="H27" s="135"/>
      <c r="I27" s="29">
        <f>E27*D27/1000*H26</f>
        <v>4104000</v>
      </c>
      <c r="J27" s="31"/>
    </row>
    <row r="28" spans="1:11">
      <c r="A28" s="68">
        <v>3</v>
      </c>
      <c r="B28" s="69" t="s">
        <v>104</v>
      </c>
      <c r="C28" s="70" t="s">
        <v>124</v>
      </c>
      <c r="D28" s="70">
        <v>30</v>
      </c>
      <c r="E28" s="28">
        <v>12000</v>
      </c>
      <c r="F28" s="135"/>
      <c r="G28" s="135"/>
      <c r="H28" s="135"/>
      <c r="I28" s="29">
        <f>E28*D28/1000*H26</f>
        <v>2462400</v>
      </c>
      <c r="J28" s="31"/>
    </row>
    <row r="29" spans="1:11">
      <c r="A29" s="68">
        <v>4</v>
      </c>
      <c r="B29" s="69" t="s">
        <v>97</v>
      </c>
      <c r="C29" s="70" t="s">
        <v>124</v>
      </c>
      <c r="D29" s="70">
        <v>100</v>
      </c>
      <c r="E29" s="28">
        <v>6500</v>
      </c>
      <c r="F29" s="135"/>
      <c r="G29" s="135"/>
      <c r="H29" s="135"/>
      <c r="I29" s="29">
        <f>E29*D29/1000*H26</f>
        <v>4446000</v>
      </c>
      <c r="J29" s="31"/>
    </row>
    <row r="30" spans="1:11">
      <c r="A30" s="68">
        <v>5</v>
      </c>
      <c r="B30" s="69" t="s">
        <v>95</v>
      </c>
      <c r="C30" s="70" t="s">
        <v>124</v>
      </c>
      <c r="D30" s="70">
        <v>40</v>
      </c>
      <c r="E30" s="28">
        <v>4000</v>
      </c>
      <c r="F30" s="135"/>
      <c r="G30" s="135"/>
      <c r="H30" s="135"/>
      <c r="I30" s="29">
        <f>E30*D30/1000*H26</f>
        <v>1094400</v>
      </c>
      <c r="J30" s="31"/>
      <c r="K30" s="64">
        <f>395*36</f>
        <v>14220</v>
      </c>
    </row>
    <row r="31" spans="1:11">
      <c r="A31" s="68">
        <v>6</v>
      </c>
      <c r="B31" s="69" t="s">
        <v>96</v>
      </c>
      <c r="C31" s="70" t="s">
        <v>124</v>
      </c>
      <c r="D31" s="70">
        <v>30</v>
      </c>
      <c r="E31" s="28">
        <v>2500</v>
      </c>
      <c r="F31" s="135"/>
      <c r="G31" s="135"/>
      <c r="H31" s="135"/>
      <c r="I31" s="29">
        <f>E31*D31/1000*H26</f>
        <v>513000</v>
      </c>
      <c r="J31" s="31"/>
    </row>
    <row r="32" spans="1:11">
      <c r="A32" s="68">
        <v>7</v>
      </c>
      <c r="B32" s="69" t="s">
        <v>93</v>
      </c>
      <c r="C32" s="70" t="s">
        <v>124</v>
      </c>
      <c r="D32" s="70">
        <v>150</v>
      </c>
      <c r="E32" s="28">
        <v>4500</v>
      </c>
      <c r="F32" s="135"/>
      <c r="G32" s="135"/>
      <c r="H32" s="135"/>
      <c r="I32" s="29">
        <f>E32*D32/1000*H26</f>
        <v>4617000</v>
      </c>
      <c r="J32" s="31"/>
    </row>
    <row r="33" spans="1:11">
      <c r="A33" s="68">
        <v>7</v>
      </c>
      <c r="B33" s="69" t="s">
        <v>123</v>
      </c>
      <c r="C33" s="70" t="s">
        <v>124</v>
      </c>
      <c r="D33" s="70">
        <v>50</v>
      </c>
      <c r="E33" s="28">
        <v>20000</v>
      </c>
      <c r="F33" s="135"/>
      <c r="G33" s="135"/>
      <c r="H33" s="135"/>
      <c r="I33" s="29">
        <f>E33*D33/1000*H26</f>
        <v>6840000</v>
      </c>
      <c r="J33" s="31"/>
    </row>
    <row r="34" spans="1:11">
      <c r="A34" s="68">
        <v>8</v>
      </c>
      <c r="B34" s="69" t="s">
        <v>105</v>
      </c>
      <c r="C34" s="70" t="s">
        <v>124</v>
      </c>
      <c r="D34" s="70">
        <v>10</v>
      </c>
      <c r="E34" s="28">
        <v>21000</v>
      </c>
      <c r="F34" s="135"/>
      <c r="G34" s="135"/>
      <c r="H34" s="135"/>
      <c r="I34" s="29">
        <f>E34*D34/1000*H26</f>
        <v>1436400</v>
      </c>
      <c r="J34" s="31"/>
    </row>
    <row r="35" spans="1:11">
      <c r="A35" s="68">
        <v>9</v>
      </c>
      <c r="B35" s="69" t="s">
        <v>106</v>
      </c>
      <c r="C35" s="70" t="s">
        <v>124</v>
      </c>
      <c r="D35" s="70">
        <v>5</v>
      </c>
      <c r="E35" s="28">
        <v>1000</v>
      </c>
      <c r="F35" s="135"/>
      <c r="G35" s="135"/>
      <c r="H35" s="135"/>
      <c r="I35" s="29">
        <f>E35*D35/1000*H26</f>
        <v>34200</v>
      </c>
      <c r="J35" s="31"/>
    </row>
    <row r="36" spans="1:11">
      <c r="A36" s="68">
        <v>10</v>
      </c>
      <c r="B36" s="69" t="s">
        <v>28</v>
      </c>
      <c r="C36" s="70" t="s">
        <v>124</v>
      </c>
      <c r="D36" s="70">
        <v>200</v>
      </c>
      <c r="E36" s="28">
        <v>2500</v>
      </c>
      <c r="F36" s="135"/>
      <c r="G36" s="135"/>
      <c r="H36" s="135"/>
      <c r="I36" s="29">
        <f>E36*D36/1000*H26</f>
        <v>3420000</v>
      </c>
      <c r="J36" s="31">
        <f>H26*20/1000</f>
        <v>136.80000000000001</v>
      </c>
    </row>
    <row r="37" spans="1:11">
      <c r="A37" s="68">
        <v>11</v>
      </c>
      <c r="B37" s="69" t="s">
        <v>14</v>
      </c>
      <c r="C37" s="70" t="s">
        <v>124</v>
      </c>
      <c r="D37" s="70">
        <v>5</v>
      </c>
      <c r="E37" s="28">
        <v>33000</v>
      </c>
      <c r="F37" s="135"/>
      <c r="G37" s="135"/>
      <c r="H37" s="135"/>
      <c r="I37" s="29">
        <f>E37*D37/1000*H26</f>
        <v>1128600</v>
      </c>
      <c r="J37" s="31"/>
    </row>
    <row r="38" spans="1:11">
      <c r="A38" s="68">
        <v>12</v>
      </c>
      <c r="B38" s="69" t="s">
        <v>99</v>
      </c>
      <c r="C38" s="70" t="s">
        <v>124</v>
      </c>
      <c r="D38" s="70">
        <v>20</v>
      </c>
      <c r="E38" s="28">
        <v>12500</v>
      </c>
      <c r="F38" s="136"/>
      <c r="G38" s="136"/>
      <c r="H38" s="136"/>
      <c r="I38" s="29">
        <f>E38*D38/1000*H26</f>
        <v>1710000</v>
      </c>
      <c r="J38" s="31">
        <f>J36*2+J18</f>
        <v>576</v>
      </c>
    </row>
    <row r="39" spans="1:11">
      <c r="A39" s="68"/>
      <c r="B39" s="69"/>
      <c r="C39" s="70"/>
      <c r="D39" s="70"/>
      <c r="E39" s="28"/>
      <c r="F39" s="28"/>
      <c r="G39" s="28"/>
      <c r="H39" s="28"/>
      <c r="I39" s="72">
        <f>SUM(I26:I38)</f>
        <v>89262000</v>
      </c>
      <c r="J39" s="31"/>
    </row>
    <row r="40" spans="1:11">
      <c r="A40" s="68"/>
      <c r="B40" s="69"/>
      <c r="C40" s="70"/>
      <c r="D40" s="70"/>
      <c r="E40" s="28"/>
      <c r="F40" s="28"/>
      <c r="G40" s="28"/>
      <c r="H40" s="28"/>
      <c r="I40" s="72"/>
      <c r="J40" s="31"/>
    </row>
    <row r="41" spans="1:11">
      <c r="A41" s="68"/>
      <c r="B41" s="66" t="s">
        <v>33</v>
      </c>
      <c r="C41" s="67"/>
      <c r="D41" s="67"/>
      <c r="E41" s="71"/>
      <c r="F41" s="71"/>
      <c r="G41" s="71"/>
      <c r="H41" s="71"/>
      <c r="I41" s="72">
        <f>I39+I24+I11</f>
        <v>322817400</v>
      </c>
      <c r="J41" s="102"/>
    </row>
    <row r="42" spans="1:11">
      <c r="A42" s="68"/>
      <c r="B42" s="69" t="s">
        <v>34</v>
      </c>
      <c r="C42" s="70"/>
      <c r="D42" s="70"/>
      <c r="E42" s="28"/>
      <c r="F42" s="28"/>
      <c r="G42" s="28"/>
      <c r="H42" s="28"/>
      <c r="I42" s="29">
        <f>I41*10%</f>
        <v>32281740</v>
      </c>
      <c r="J42" s="31"/>
    </row>
    <row r="43" spans="1:11">
      <c r="A43" s="68"/>
      <c r="B43" s="69"/>
      <c r="C43" s="70"/>
      <c r="D43" s="70"/>
      <c r="E43" s="28"/>
      <c r="F43" s="28"/>
      <c r="G43" s="28"/>
      <c r="H43" s="28"/>
      <c r="I43" s="72">
        <f>I41+I42</f>
        <v>355099140</v>
      </c>
      <c r="J43" s="102"/>
    </row>
    <row r="44" spans="1:11">
      <c r="A44" s="68"/>
      <c r="B44" s="69" t="s">
        <v>35</v>
      </c>
      <c r="C44" s="70"/>
      <c r="D44" s="70"/>
      <c r="E44" s="28"/>
      <c r="F44" s="28"/>
      <c r="G44" s="28"/>
      <c r="H44" s="28"/>
      <c r="I44" s="29">
        <f>I43*15%</f>
        <v>53264871</v>
      </c>
      <c r="J44" s="31"/>
    </row>
    <row r="45" spans="1:11" ht="31.5">
      <c r="A45" s="68"/>
      <c r="B45" s="69" t="s">
        <v>65</v>
      </c>
      <c r="C45" s="70" t="s">
        <v>58</v>
      </c>
      <c r="D45" s="70"/>
      <c r="E45" s="28">
        <v>9600</v>
      </c>
      <c r="F45" s="28"/>
      <c r="G45" s="28"/>
      <c r="H45" s="28">
        <v>2000</v>
      </c>
      <c r="I45" s="29">
        <f>E45*H45</f>
        <v>19200000</v>
      </c>
      <c r="J45" s="31"/>
    </row>
    <row r="46" spans="1:11">
      <c r="A46" s="65"/>
      <c r="B46" s="66" t="s">
        <v>36</v>
      </c>
      <c r="C46" s="67"/>
      <c r="D46" s="67"/>
      <c r="E46" s="71"/>
      <c r="F46" s="71"/>
      <c r="G46" s="71"/>
      <c r="H46" s="71"/>
      <c r="I46" s="72">
        <f>I43+I44+I45</f>
        <v>427564011</v>
      </c>
      <c r="J46" s="102"/>
    </row>
    <row r="47" spans="1:11" ht="15">
      <c r="A47" s="116"/>
      <c r="B47" s="116"/>
      <c r="C47" s="116"/>
      <c r="D47" s="116"/>
      <c r="E47" s="116"/>
      <c r="F47" s="116"/>
      <c r="G47" s="116"/>
      <c r="H47" s="116"/>
      <c r="I47" s="116"/>
      <c r="J47" s="74"/>
    </row>
    <row r="48" spans="1:11" ht="15">
      <c r="A48" s="80"/>
      <c r="B48" s="117"/>
      <c r="C48" s="118"/>
      <c r="D48" s="118"/>
      <c r="E48" s="118"/>
      <c r="F48" s="118"/>
      <c r="G48" s="118"/>
      <c r="H48" s="119"/>
      <c r="I48" s="103">
        <f>I46</f>
        <v>427564011</v>
      </c>
      <c r="J48" s="74"/>
      <c r="K48" s="74"/>
    </row>
    <row r="49" spans="1:10" ht="15">
      <c r="A49" s="79"/>
      <c r="B49" s="79"/>
      <c r="C49" s="79"/>
      <c r="D49" s="79"/>
      <c r="E49" s="79"/>
      <c r="F49" s="79"/>
      <c r="G49" s="79"/>
      <c r="H49" s="79"/>
      <c r="I49" s="79"/>
      <c r="J49" s="74"/>
    </row>
    <row r="51" spans="1:10" ht="18.75">
      <c r="B51" s="75" t="s">
        <v>40</v>
      </c>
      <c r="E51" s="112" t="s">
        <v>55</v>
      </c>
      <c r="F51" s="112"/>
      <c r="G51" s="112"/>
      <c r="H51" s="112"/>
      <c r="I51" s="112"/>
    </row>
    <row r="52" spans="1:10" ht="18.75">
      <c r="B52" s="75" t="s">
        <v>41</v>
      </c>
      <c r="E52" s="112" t="s">
        <v>55</v>
      </c>
      <c r="F52" s="112"/>
      <c r="G52" s="112"/>
      <c r="H52" s="112"/>
      <c r="I52" s="112"/>
    </row>
    <row r="53" spans="1:10" ht="18.75">
      <c r="B53" s="75" t="s">
        <v>42</v>
      </c>
      <c r="E53" s="112" t="s">
        <v>55</v>
      </c>
      <c r="F53" s="112"/>
      <c r="G53" s="112"/>
      <c r="H53" s="112"/>
      <c r="I53" s="112"/>
    </row>
    <row r="54" spans="1:10" ht="18.75">
      <c r="B54" s="75" t="s">
        <v>43</v>
      </c>
      <c r="E54" s="112" t="s">
        <v>55</v>
      </c>
      <c r="F54" s="112"/>
      <c r="G54" s="112"/>
      <c r="H54" s="112"/>
      <c r="I54" s="112"/>
    </row>
    <row r="55" spans="1:10" ht="18.75">
      <c r="B55" s="75" t="s">
        <v>44</v>
      </c>
      <c r="E55" s="112" t="s">
        <v>55</v>
      </c>
      <c r="F55" s="112"/>
      <c r="G55" s="112"/>
      <c r="H55" s="112"/>
      <c r="I55" s="112"/>
    </row>
    <row r="56" spans="1:10" ht="18.75">
      <c r="B56" s="76"/>
      <c r="E56" s="112" t="s">
        <v>55</v>
      </c>
      <c r="F56" s="112"/>
      <c r="G56" s="112"/>
      <c r="H56" s="112"/>
      <c r="I56" s="112"/>
    </row>
    <row r="57" spans="1:10" ht="18.75">
      <c r="B57" s="76"/>
      <c r="H57" s="112"/>
      <c r="I57" s="112"/>
    </row>
    <row r="58" spans="1:10" ht="18.75">
      <c r="B58" s="75" t="s">
        <v>45</v>
      </c>
      <c r="E58" s="112" t="s">
        <v>56</v>
      </c>
      <c r="F58" s="112"/>
      <c r="G58" s="112"/>
      <c r="H58" s="112"/>
      <c r="I58" s="112"/>
    </row>
    <row r="59" spans="1:10" ht="18.75">
      <c r="B59" s="75"/>
    </row>
  </sheetData>
  <mergeCells count="22">
    <mergeCell ref="H26:H38"/>
    <mergeCell ref="B2:I2"/>
    <mergeCell ref="C3:D3"/>
    <mergeCell ref="C4:D4"/>
    <mergeCell ref="H5:H10"/>
    <mergeCell ref="H13:H23"/>
    <mergeCell ref="E55:I55"/>
    <mergeCell ref="E56:I56"/>
    <mergeCell ref="H57:I57"/>
    <mergeCell ref="E58:I58"/>
    <mergeCell ref="F5:F10"/>
    <mergeCell ref="G5:G10"/>
    <mergeCell ref="F13:F23"/>
    <mergeCell ref="G13:G23"/>
    <mergeCell ref="F26:F38"/>
    <mergeCell ref="G26:G38"/>
    <mergeCell ref="A47:I47"/>
    <mergeCell ref="B48:H48"/>
    <mergeCell ref="E51:I51"/>
    <mergeCell ref="E52:I52"/>
    <mergeCell ref="E53:I53"/>
    <mergeCell ref="E54:I54"/>
  </mergeCells>
  <pageMargins left="0.7" right="0.7" top="0.75" bottom="0.75" header="0.3" footer="0.3"/>
  <pageSetup paperSize="9" scale="5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60"/>
  <sheetViews>
    <sheetView tabSelected="1" workbookViewId="0">
      <selection activeCell="C47" sqref="C47"/>
    </sheetView>
  </sheetViews>
  <sheetFormatPr defaultRowHeight="15.75"/>
  <cols>
    <col min="1" max="1" width="3.28515625" style="64" bestFit="1" customWidth="1"/>
    <col min="2" max="2" width="38.28515625" style="73" customWidth="1"/>
    <col min="3" max="4" width="9.140625" style="64"/>
    <col min="5" max="5" width="13.5703125" style="64" bestFit="1" customWidth="1"/>
    <col min="6" max="6" width="12" style="64" customWidth="1"/>
    <col min="7" max="7" width="22.85546875" style="64" customWidth="1"/>
    <col min="8" max="8" width="15.85546875" style="64" hidden="1" customWidth="1"/>
    <col min="9" max="9" width="10.85546875" style="64" hidden="1" customWidth="1"/>
    <col min="10" max="10" width="10" style="64" hidden="1" customWidth="1"/>
    <col min="11" max="11" width="0" style="64" hidden="1" customWidth="1"/>
    <col min="12" max="16384" width="9.140625" style="64"/>
  </cols>
  <sheetData>
    <row r="2" spans="1:8" ht="18.75">
      <c r="B2" s="111" t="s">
        <v>131</v>
      </c>
      <c r="C2" s="111"/>
      <c r="D2" s="111"/>
      <c r="E2" s="111"/>
      <c r="F2" s="111"/>
      <c r="G2" s="111"/>
    </row>
    <row r="3" spans="1:8">
      <c r="A3" s="65" t="s">
        <v>0</v>
      </c>
      <c r="B3" s="66" t="s">
        <v>19</v>
      </c>
      <c r="C3" s="132" t="s">
        <v>20</v>
      </c>
      <c r="D3" s="133"/>
      <c r="E3" s="67" t="s">
        <v>21</v>
      </c>
      <c r="F3" s="67" t="s">
        <v>126</v>
      </c>
      <c r="G3" s="67" t="s">
        <v>22</v>
      </c>
      <c r="H3" s="101"/>
    </row>
    <row r="4" spans="1:8">
      <c r="A4" s="65"/>
      <c r="B4" s="82" t="s">
        <v>57</v>
      </c>
      <c r="C4" s="113"/>
      <c r="D4" s="115"/>
      <c r="E4" s="66"/>
      <c r="F4" s="66"/>
      <c r="G4" s="66"/>
      <c r="H4" s="101"/>
    </row>
    <row r="5" spans="1:8">
      <c r="A5" s="68">
        <v>1</v>
      </c>
      <c r="B5" s="69" t="s">
        <v>69</v>
      </c>
      <c r="C5" s="70" t="s">
        <v>58</v>
      </c>
      <c r="D5" s="70">
        <v>2</v>
      </c>
      <c r="E5" s="28">
        <v>1150</v>
      </c>
      <c r="F5" s="134">
        <v>215</v>
      </c>
      <c r="G5" s="28">
        <f>E5*D5*F5</f>
        <v>494500</v>
      </c>
      <c r="H5" s="31"/>
    </row>
    <row r="6" spans="1:8">
      <c r="A6" s="68">
        <v>2</v>
      </c>
      <c r="B6" s="69" t="s">
        <v>123</v>
      </c>
      <c r="C6" s="70" t="s">
        <v>124</v>
      </c>
      <c r="D6" s="99">
        <v>50</v>
      </c>
      <c r="E6" s="80">
        <v>20000</v>
      </c>
      <c r="F6" s="135"/>
      <c r="G6" s="28">
        <f>E6*D6/1000*F5</f>
        <v>215000</v>
      </c>
      <c r="H6" s="31"/>
    </row>
    <row r="7" spans="1:8">
      <c r="A7" s="68">
        <v>3</v>
      </c>
      <c r="B7" s="69" t="s">
        <v>128</v>
      </c>
      <c r="C7" s="70" t="s">
        <v>124</v>
      </c>
      <c r="D7" s="70">
        <v>10</v>
      </c>
      <c r="E7" s="80">
        <v>33000</v>
      </c>
      <c r="F7" s="135"/>
      <c r="G7" s="28">
        <f>E7*D7/1000*F5</f>
        <v>70950</v>
      </c>
      <c r="H7" s="31"/>
    </row>
    <row r="8" spans="1:8">
      <c r="A8" s="68">
        <v>4</v>
      </c>
      <c r="B8" s="69" t="s">
        <v>28</v>
      </c>
      <c r="C8" s="70" t="s">
        <v>124</v>
      </c>
      <c r="D8" s="70">
        <v>300</v>
      </c>
      <c r="E8" s="80">
        <v>2500</v>
      </c>
      <c r="F8" s="135"/>
      <c r="G8" s="28">
        <f>E8*D8/1000*F5</f>
        <v>161250</v>
      </c>
      <c r="H8" s="31">
        <f>+F5/30</f>
        <v>7.166666666666667</v>
      </c>
    </row>
    <row r="9" spans="1:8">
      <c r="A9" s="68">
        <v>5</v>
      </c>
      <c r="B9" s="69" t="s">
        <v>99</v>
      </c>
      <c r="C9" s="70" t="s">
        <v>124</v>
      </c>
      <c r="D9" s="99">
        <v>20</v>
      </c>
      <c r="E9" s="80">
        <v>12500</v>
      </c>
      <c r="F9" s="135"/>
      <c r="G9" s="28">
        <f>E9*D9/1000*F5</f>
        <v>53750</v>
      </c>
      <c r="H9" s="31"/>
    </row>
    <row r="10" spans="1:8">
      <c r="A10" s="68">
        <v>6</v>
      </c>
      <c r="B10" s="69" t="s">
        <v>106</v>
      </c>
      <c r="C10" s="70" t="s">
        <v>124</v>
      </c>
      <c r="D10" s="99">
        <v>5</v>
      </c>
      <c r="E10" s="80">
        <v>1000</v>
      </c>
      <c r="F10" s="136"/>
      <c r="G10" s="28">
        <f>E10*D10/1000*F5</f>
        <v>1075</v>
      </c>
      <c r="H10" s="31"/>
    </row>
    <row r="11" spans="1:8">
      <c r="A11" s="68"/>
      <c r="B11" s="69"/>
      <c r="C11" s="70"/>
      <c r="D11" s="99"/>
      <c r="E11" s="80"/>
      <c r="F11" s="28"/>
      <c r="G11" s="71">
        <f>SUM(G5:G10)</f>
        <v>996525</v>
      </c>
      <c r="H11" s="31"/>
    </row>
    <row r="12" spans="1:8">
      <c r="A12" s="68"/>
      <c r="B12" s="82" t="s">
        <v>59</v>
      </c>
      <c r="C12" s="69"/>
      <c r="D12" s="69"/>
      <c r="E12" s="69"/>
      <c r="F12" s="69"/>
      <c r="G12" s="77"/>
      <c r="H12" s="31"/>
    </row>
    <row r="13" spans="1:8">
      <c r="A13" s="68">
        <v>1</v>
      </c>
      <c r="B13" s="69" t="s">
        <v>101</v>
      </c>
      <c r="C13" s="70" t="s">
        <v>124</v>
      </c>
      <c r="D13" s="70">
        <v>150</v>
      </c>
      <c r="E13" s="28">
        <v>56000</v>
      </c>
      <c r="F13" s="134">
        <v>215</v>
      </c>
      <c r="G13" s="28">
        <f>E13*D13/1000*F13</f>
        <v>1806000</v>
      </c>
      <c r="H13" s="31"/>
    </row>
    <row r="14" spans="1:8">
      <c r="A14" s="68">
        <v>2</v>
      </c>
      <c r="B14" s="69" t="s">
        <v>97</v>
      </c>
      <c r="C14" s="70" t="s">
        <v>124</v>
      </c>
      <c r="D14" s="70">
        <v>250</v>
      </c>
      <c r="E14" s="28">
        <v>6500</v>
      </c>
      <c r="F14" s="135"/>
      <c r="G14" s="28">
        <f>E14*D14/1000*F13</f>
        <v>349375</v>
      </c>
      <c r="H14" s="31"/>
    </row>
    <row r="15" spans="1:8">
      <c r="A15" s="68">
        <v>3</v>
      </c>
      <c r="B15" s="69" t="s">
        <v>123</v>
      </c>
      <c r="C15" s="70" t="s">
        <v>124</v>
      </c>
      <c r="D15" s="70">
        <v>60</v>
      </c>
      <c r="E15" s="28">
        <v>20000</v>
      </c>
      <c r="F15" s="135"/>
      <c r="G15" s="28">
        <f>E15*D15/1000*F13</f>
        <v>258000</v>
      </c>
      <c r="H15" s="31"/>
    </row>
    <row r="16" spans="1:8">
      <c r="A16" s="68">
        <v>4</v>
      </c>
      <c r="B16" s="69" t="s">
        <v>96</v>
      </c>
      <c r="C16" s="70" t="s">
        <v>124</v>
      </c>
      <c r="D16" s="70">
        <v>150</v>
      </c>
      <c r="E16" s="28">
        <v>2500</v>
      </c>
      <c r="F16" s="135"/>
      <c r="G16" s="28">
        <f>E16*D16/1000*F13</f>
        <v>80625</v>
      </c>
      <c r="H16" s="31"/>
    </row>
    <row r="17" spans="1:9">
      <c r="A17" s="78">
        <v>5</v>
      </c>
      <c r="B17" s="100" t="s">
        <v>95</v>
      </c>
      <c r="C17" s="70" t="s">
        <v>124</v>
      </c>
      <c r="D17" s="70">
        <v>80</v>
      </c>
      <c r="E17" s="28">
        <v>4000</v>
      </c>
      <c r="F17" s="135"/>
      <c r="G17" s="28">
        <f>E17*D17/1000*F13</f>
        <v>68800</v>
      </c>
      <c r="H17" s="31"/>
    </row>
    <row r="18" spans="1:9">
      <c r="A18" s="68">
        <v>6</v>
      </c>
      <c r="B18" s="69" t="s">
        <v>106</v>
      </c>
      <c r="C18" s="70" t="s">
        <v>124</v>
      </c>
      <c r="D18" s="99">
        <v>5</v>
      </c>
      <c r="E18" s="80">
        <v>1000</v>
      </c>
      <c r="F18" s="135"/>
      <c r="G18" s="28">
        <f>E18*D18/1000*F13</f>
        <v>1075</v>
      </c>
      <c r="H18" s="31">
        <f>+F13/30</f>
        <v>7.166666666666667</v>
      </c>
    </row>
    <row r="19" spans="1:9">
      <c r="A19" s="78">
        <v>7</v>
      </c>
      <c r="B19" s="100" t="s">
        <v>107</v>
      </c>
      <c r="C19" s="70" t="s">
        <v>124</v>
      </c>
      <c r="D19" s="70">
        <v>70</v>
      </c>
      <c r="E19" s="28">
        <v>2500</v>
      </c>
      <c r="F19" s="135"/>
      <c r="G19" s="28">
        <f>E19*D19/1000*F13</f>
        <v>37625</v>
      </c>
      <c r="H19" s="31"/>
    </row>
    <row r="20" spans="1:9">
      <c r="A20" s="78">
        <v>8</v>
      </c>
      <c r="B20" s="100" t="s">
        <v>109</v>
      </c>
      <c r="C20" s="70" t="s">
        <v>124</v>
      </c>
      <c r="D20" s="70">
        <v>70</v>
      </c>
      <c r="E20" s="28">
        <v>3000</v>
      </c>
      <c r="F20" s="135"/>
      <c r="G20" s="28">
        <f>E20*D20/1000*F13</f>
        <v>45150</v>
      </c>
      <c r="H20" s="31"/>
    </row>
    <row r="21" spans="1:9">
      <c r="A21" s="78">
        <v>9</v>
      </c>
      <c r="B21" s="100" t="s">
        <v>28</v>
      </c>
      <c r="C21" s="70" t="s">
        <v>124</v>
      </c>
      <c r="D21" s="70">
        <v>250</v>
      </c>
      <c r="E21" s="28">
        <v>2500</v>
      </c>
      <c r="F21" s="135"/>
      <c r="G21" s="28">
        <f>E21*D21/1000*F13</f>
        <v>134375</v>
      </c>
      <c r="H21" s="31"/>
    </row>
    <row r="22" spans="1:9">
      <c r="A22" s="78">
        <v>10</v>
      </c>
      <c r="B22" s="100" t="s">
        <v>14</v>
      </c>
      <c r="C22" s="70" t="s">
        <v>124</v>
      </c>
      <c r="D22" s="70">
        <v>5</v>
      </c>
      <c r="E22" s="28">
        <v>33000</v>
      </c>
      <c r="F22" s="135"/>
      <c r="G22" s="28">
        <f>E22*D22/1000*F13</f>
        <v>35475</v>
      </c>
      <c r="H22" s="31"/>
    </row>
    <row r="23" spans="1:9">
      <c r="A23" s="78">
        <v>11</v>
      </c>
      <c r="B23" s="100" t="s">
        <v>99</v>
      </c>
      <c r="C23" s="70" t="s">
        <v>124</v>
      </c>
      <c r="D23" s="70">
        <v>20</v>
      </c>
      <c r="E23" s="28">
        <v>12500</v>
      </c>
      <c r="F23" s="136"/>
      <c r="G23" s="28">
        <f>E23*D23/1000*F13</f>
        <v>53750</v>
      </c>
      <c r="H23" s="31"/>
    </row>
    <row r="24" spans="1:9">
      <c r="A24" s="78"/>
      <c r="B24" s="100"/>
      <c r="C24" s="70"/>
      <c r="D24" s="70"/>
      <c r="E24" s="28"/>
      <c r="F24" s="28"/>
      <c r="G24" s="71">
        <f>SUM(G13:G23)</f>
        <v>2870250</v>
      </c>
      <c r="H24" s="31"/>
    </row>
    <row r="25" spans="1:9" ht="15">
      <c r="A25" s="78"/>
      <c r="B25" s="98" t="s">
        <v>63</v>
      </c>
      <c r="C25" s="68"/>
      <c r="D25" s="68"/>
      <c r="E25" s="68"/>
      <c r="F25" s="68"/>
      <c r="G25" s="72"/>
      <c r="H25" s="31"/>
    </row>
    <row r="26" spans="1:9">
      <c r="A26" s="68">
        <v>1</v>
      </c>
      <c r="B26" s="69" t="s">
        <v>101</v>
      </c>
      <c r="C26" s="70" t="s">
        <v>124</v>
      </c>
      <c r="D26" s="70">
        <v>150</v>
      </c>
      <c r="E26" s="28">
        <v>56000</v>
      </c>
      <c r="F26" s="134">
        <v>215</v>
      </c>
      <c r="G26" s="29">
        <f>E26*D26/1000*F26</f>
        <v>1806000</v>
      </c>
      <c r="H26" s="31"/>
      <c r="I26" s="64">
        <f>6650*2+13650</f>
        <v>26950</v>
      </c>
    </row>
    <row r="27" spans="1:9">
      <c r="A27" s="68">
        <v>2</v>
      </c>
      <c r="B27" s="69" t="s">
        <v>103</v>
      </c>
      <c r="C27" s="70" t="s">
        <v>124</v>
      </c>
      <c r="D27" s="70">
        <v>50</v>
      </c>
      <c r="E27" s="28">
        <v>12000</v>
      </c>
      <c r="F27" s="135"/>
      <c r="G27" s="29">
        <f>E27*D27/1000*F26</f>
        <v>129000</v>
      </c>
      <c r="H27" s="31"/>
    </row>
    <row r="28" spans="1:9">
      <c r="A28" s="68">
        <v>3</v>
      </c>
      <c r="B28" s="69" t="s">
        <v>104</v>
      </c>
      <c r="C28" s="70" t="s">
        <v>124</v>
      </c>
      <c r="D28" s="70">
        <v>30</v>
      </c>
      <c r="E28" s="28">
        <v>12000</v>
      </c>
      <c r="F28" s="135"/>
      <c r="G28" s="29">
        <f>E28*D28/1000*F26</f>
        <v>77400</v>
      </c>
      <c r="H28" s="31"/>
    </row>
    <row r="29" spans="1:9">
      <c r="A29" s="68">
        <v>4</v>
      </c>
      <c r="B29" s="69" t="s">
        <v>97</v>
      </c>
      <c r="C29" s="70" t="s">
        <v>124</v>
      </c>
      <c r="D29" s="70">
        <v>100</v>
      </c>
      <c r="E29" s="28">
        <v>6500</v>
      </c>
      <c r="F29" s="135"/>
      <c r="G29" s="29">
        <f>E29*D29/1000*F26</f>
        <v>139750</v>
      </c>
      <c r="H29" s="31"/>
    </row>
    <row r="30" spans="1:9">
      <c r="A30" s="68">
        <v>5</v>
      </c>
      <c r="B30" s="69" t="s">
        <v>95</v>
      </c>
      <c r="C30" s="70" t="s">
        <v>124</v>
      </c>
      <c r="D30" s="70">
        <v>40</v>
      </c>
      <c r="E30" s="28">
        <v>4000</v>
      </c>
      <c r="F30" s="135"/>
      <c r="G30" s="29">
        <f>E30*D30/1000*F26</f>
        <v>34400</v>
      </c>
      <c r="H30" s="31"/>
      <c r="I30" s="64">
        <f>395*36</f>
        <v>14220</v>
      </c>
    </row>
    <row r="31" spans="1:9">
      <c r="A31" s="68">
        <v>6</v>
      </c>
      <c r="B31" s="69" t="s">
        <v>96</v>
      </c>
      <c r="C31" s="70" t="s">
        <v>124</v>
      </c>
      <c r="D31" s="70">
        <v>30</v>
      </c>
      <c r="E31" s="28">
        <v>2500</v>
      </c>
      <c r="F31" s="135"/>
      <c r="G31" s="29">
        <f>E31*D31/1000*F26</f>
        <v>16125</v>
      </c>
      <c r="H31" s="31"/>
    </row>
    <row r="32" spans="1:9">
      <c r="A32" s="68">
        <v>7</v>
      </c>
      <c r="B32" s="69" t="s">
        <v>93</v>
      </c>
      <c r="C32" s="70" t="s">
        <v>124</v>
      </c>
      <c r="D32" s="70">
        <v>150</v>
      </c>
      <c r="E32" s="28">
        <v>4500</v>
      </c>
      <c r="F32" s="135"/>
      <c r="G32" s="29">
        <f>E32*D32/1000*F26</f>
        <v>145125</v>
      </c>
      <c r="H32" s="31"/>
    </row>
    <row r="33" spans="1:9">
      <c r="A33" s="68">
        <v>7</v>
      </c>
      <c r="B33" s="69" t="s">
        <v>123</v>
      </c>
      <c r="C33" s="70" t="s">
        <v>124</v>
      </c>
      <c r="D33" s="70">
        <v>50</v>
      </c>
      <c r="E33" s="28">
        <v>20000</v>
      </c>
      <c r="F33" s="135"/>
      <c r="G33" s="29">
        <f>E33*D33/1000*F26</f>
        <v>215000</v>
      </c>
      <c r="H33" s="31"/>
    </row>
    <row r="34" spans="1:9">
      <c r="A34" s="68">
        <v>8</v>
      </c>
      <c r="B34" s="69" t="s">
        <v>105</v>
      </c>
      <c r="C34" s="70" t="s">
        <v>124</v>
      </c>
      <c r="D34" s="70">
        <v>10</v>
      </c>
      <c r="E34" s="28">
        <v>21000</v>
      </c>
      <c r="F34" s="135"/>
      <c r="G34" s="29">
        <f>E34*D34/1000*F26</f>
        <v>45150</v>
      </c>
      <c r="H34" s="31"/>
    </row>
    <row r="35" spans="1:9">
      <c r="A35" s="68">
        <v>9</v>
      </c>
      <c r="B35" s="69" t="s">
        <v>106</v>
      </c>
      <c r="C35" s="70" t="s">
        <v>124</v>
      </c>
      <c r="D35" s="70">
        <v>5</v>
      </c>
      <c r="E35" s="28">
        <v>1000</v>
      </c>
      <c r="F35" s="135"/>
      <c r="G35" s="29">
        <f>E35*D35/1000*F26</f>
        <v>1075</v>
      </c>
      <c r="H35" s="31"/>
    </row>
    <row r="36" spans="1:9">
      <c r="A36" s="68">
        <v>10</v>
      </c>
      <c r="B36" s="69" t="s">
        <v>28</v>
      </c>
      <c r="C36" s="70" t="s">
        <v>124</v>
      </c>
      <c r="D36" s="70">
        <v>200</v>
      </c>
      <c r="E36" s="28">
        <v>2500</v>
      </c>
      <c r="F36" s="135"/>
      <c r="G36" s="29">
        <f>E36*D36/1000*F26</f>
        <v>107500</v>
      </c>
      <c r="H36" s="31">
        <f>F26*20/1000</f>
        <v>4.3</v>
      </c>
    </row>
    <row r="37" spans="1:9">
      <c r="A37" s="68">
        <v>11</v>
      </c>
      <c r="B37" s="69" t="s">
        <v>14</v>
      </c>
      <c r="C37" s="70" t="s">
        <v>124</v>
      </c>
      <c r="D37" s="70">
        <v>5</v>
      </c>
      <c r="E37" s="28">
        <v>33000</v>
      </c>
      <c r="F37" s="135"/>
      <c r="G37" s="29">
        <f>E37*D37/1000*F26</f>
        <v>35475</v>
      </c>
      <c r="H37" s="31"/>
    </row>
    <row r="38" spans="1:9">
      <c r="A38" s="68">
        <v>12</v>
      </c>
      <c r="B38" s="69" t="s">
        <v>99</v>
      </c>
      <c r="C38" s="70" t="s">
        <v>124</v>
      </c>
      <c r="D38" s="70">
        <v>20</v>
      </c>
      <c r="E38" s="28">
        <v>12500</v>
      </c>
      <c r="F38" s="136"/>
      <c r="G38" s="29">
        <f>E38*D38/1000*F26</f>
        <v>53750</v>
      </c>
      <c r="H38" s="31">
        <f>H36*2+H18</f>
        <v>15.766666666666666</v>
      </c>
    </row>
    <row r="39" spans="1:9">
      <c r="A39" s="68"/>
      <c r="B39" s="69"/>
      <c r="C39" s="70"/>
      <c r="D39" s="70"/>
      <c r="E39" s="28"/>
      <c r="F39" s="28"/>
      <c r="G39" s="72">
        <f>SUM(G26:G38)</f>
        <v>2805750</v>
      </c>
      <c r="H39" s="31"/>
    </row>
    <row r="40" spans="1:9">
      <c r="A40" s="68"/>
      <c r="B40" s="69"/>
      <c r="C40" s="70"/>
      <c r="D40" s="70"/>
      <c r="E40" s="28"/>
      <c r="F40" s="28"/>
      <c r="G40" s="72"/>
      <c r="H40" s="31"/>
    </row>
    <row r="41" spans="1:9">
      <c r="A41" s="68"/>
      <c r="B41" s="66" t="s">
        <v>33</v>
      </c>
      <c r="C41" s="67"/>
      <c r="D41" s="67"/>
      <c r="E41" s="71"/>
      <c r="F41" s="71"/>
      <c r="G41" s="72">
        <f>G39+G24+G11</f>
        <v>6672525</v>
      </c>
      <c r="H41" s="102"/>
    </row>
    <row r="42" spans="1:9">
      <c r="A42" s="68"/>
      <c r="B42" s="69" t="s">
        <v>34</v>
      </c>
      <c r="C42" s="70"/>
      <c r="D42" s="70"/>
      <c r="E42" s="28"/>
      <c r="F42" s="28"/>
      <c r="G42" s="29">
        <f>G41*10%</f>
        <v>667252.5</v>
      </c>
      <c r="H42" s="31"/>
    </row>
    <row r="43" spans="1:9">
      <c r="A43" s="68"/>
      <c r="B43" s="69"/>
      <c r="C43" s="70"/>
      <c r="D43" s="70"/>
      <c r="E43" s="28"/>
      <c r="F43" s="28"/>
      <c r="G43" s="72">
        <f>G41+G42</f>
        <v>7339777.5</v>
      </c>
      <c r="H43" s="102"/>
    </row>
    <row r="44" spans="1:9">
      <c r="A44" s="68"/>
      <c r="B44" s="69" t="s">
        <v>35</v>
      </c>
      <c r="C44" s="70"/>
      <c r="D44" s="70"/>
      <c r="E44" s="28"/>
      <c r="F44" s="28"/>
      <c r="G44" s="29">
        <f>G43*15%</f>
        <v>1100966.625</v>
      </c>
      <c r="H44" s="31"/>
    </row>
    <row r="45" spans="1:9" ht="31.5">
      <c r="A45" s="68"/>
      <c r="B45" s="69" t="s">
        <v>65</v>
      </c>
      <c r="C45" s="70" t="s">
        <v>58</v>
      </c>
      <c r="D45" s="70"/>
      <c r="E45" s="28">
        <f>+F26*12</f>
        <v>2580</v>
      </c>
      <c r="F45" s="28">
        <v>9500</v>
      </c>
      <c r="G45" s="29">
        <f>E45*F45</f>
        <v>24510000</v>
      </c>
      <c r="H45" s="31"/>
    </row>
    <row r="46" spans="1:9">
      <c r="A46" s="65"/>
      <c r="B46" s="66" t="s">
        <v>36</v>
      </c>
      <c r="C46" s="67"/>
      <c r="D46" s="67"/>
      <c r="E46" s="71"/>
      <c r="F46" s="71"/>
      <c r="G46" s="72">
        <f>G43+G44+G45-61206</f>
        <v>32889538.125</v>
      </c>
      <c r="H46" s="102">
        <f>+G46*12</f>
        <v>394674457.5</v>
      </c>
    </row>
    <row r="47" spans="1:9" ht="15">
      <c r="A47" s="137"/>
      <c r="B47" s="138" t="s">
        <v>132</v>
      </c>
      <c r="C47" s="138" t="s">
        <v>133</v>
      </c>
      <c r="D47" s="138"/>
      <c r="E47" s="138"/>
      <c r="F47" s="138"/>
      <c r="G47" s="105">
        <v>13</v>
      </c>
      <c r="H47" s="74">
        <v>427564000</v>
      </c>
    </row>
    <row r="48" spans="1:9" ht="15">
      <c r="A48" s="80"/>
      <c r="B48" s="117"/>
      <c r="C48" s="118"/>
      <c r="D48" s="118"/>
      <c r="E48" s="118"/>
      <c r="F48" s="119"/>
      <c r="G48" s="103">
        <f>+G46*G47</f>
        <v>427563995.625</v>
      </c>
      <c r="H48" s="74">
        <f>+H46-H47</f>
        <v>-32889542.5</v>
      </c>
      <c r="I48" s="74"/>
    </row>
    <row r="49" spans="1:8" ht="15">
      <c r="A49" s="79"/>
      <c r="B49" s="79"/>
      <c r="C49" s="79"/>
      <c r="D49" s="79"/>
      <c r="E49" s="79"/>
      <c r="F49" s="79"/>
      <c r="G49" s="139"/>
      <c r="H49" s="74"/>
    </row>
    <row r="50" spans="1:8" ht="15">
      <c r="A50" s="79"/>
      <c r="B50" s="79" t="s">
        <v>134</v>
      </c>
      <c r="C50" s="79"/>
      <c r="D50" s="79"/>
      <c r="E50" s="79"/>
      <c r="F50" s="79" t="s">
        <v>135</v>
      </c>
      <c r="G50" s="79"/>
      <c r="H50" s="74"/>
    </row>
    <row r="51" spans="1:8" ht="15">
      <c r="A51" s="79"/>
      <c r="B51" s="79"/>
      <c r="C51" s="79"/>
      <c r="D51" s="79"/>
      <c r="E51" s="79"/>
      <c r="F51" s="79"/>
      <c r="G51" s="79"/>
      <c r="H51" s="74"/>
    </row>
    <row r="52" spans="1:8" ht="15">
      <c r="A52" s="79"/>
      <c r="B52" s="79"/>
      <c r="C52" s="79"/>
      <c r="D52" s="79"/>
      <c r="E52" s="79"/>
      <c r="F52" s="79"/>
      <c r="G52" s="79"/>
      <c r="H52" s="74"/>
    </row>
    <row r="53" spans="1:8" ht="15">
      <c r="A53" s="79"/>
      <c r="B53" s="79"/>
      <c r="C53" s="79"/>
      <c r="D53" s="79"/>
      <c r="E53" s="79"/>
      <c r="F53" s="79"/>
      <c r="G53" s="79"/>
      <c r="H53" s="74"/>
    </row>
    <row r="54" spans="1:8" ht="15">
      <c r="A54" s="79"/>
      <c r="B54" s="79"/>
      <c r="C54" s="79"/>
      <c r="D54" s="79"/>
      <c r="E54" s="79"/>
      <c r="F54" s="79"/>
      <c r="G54" s="79"/>
      <c r="H54" s="74"/>
    </row>
    <row r="55" spans="1:8" ht="15">
      <c r="A55" s="79"/>
      <c r="B55" s="79"/>
      <c r="C55" s="79"/>
      <c r="D55" s="79"/>
      <c r="E55" s="79"/>
      <c r="F55" s="79"/>
      <c r="G55" s="79"/>
      <c r="H55" s="74"/>
    </row>
    <row r="56" spans="1:8" ht="15">
      <c r="A56" s="79"/>
      <c r="B56" s="79"/>
      <c r="C56" s="79"/>
      <c r="D56" s="79"/>
      <c r="E56" s="79"/>
      <c r="F56" s="79"/>
      <c r="G56" s="79"/>
      <c r="H56" s="74"/>
    </row>
    <row r="57" spans="1:8" ht="15">
      <c r="A57" s="79"/>
      <c r="B57" s="79"/>
      <c r="C57" s="79"/>
      <c r="D57" s="79"/>
      <c r="E57" s="79"/>
      <c r="F57" s="79"/>
      <c r="G57" s="79"/>
      <c r="H57" s="74"/>
    </row>
    <row r="58" spans="1:8" ht="15">
      <c r="A58" s="79"/>
      <c r="B58" s="79"/>
      <c r="C58" s="79"/>
      <c r="D58" s="79"/>
      <c r="E58" s="79"/>
      <c r="F58" s="79"/>
      <c r="G58" s="79"/>
      <c r="H58" s="74"/>
    </row>
    <row r="59" spans="1:8" ht="15">
      <c r="A59" s="79"/>
      <c r="B59" s="79"/>
      <c r="C59" s="79"/>
      <c r="D59" s="79"/>
      <c r="E59" s="79"/>
      <c r="F59" s="79"/>
      <c r="G59" s="79"/>
      <c r="H59" s="74"/>
    </row>
    <row r="60" spans="1:8" ht="15">
      <c r="A60" s="79"/>
      <c r="B60" s="79"/>
      <c r="C60" s="79"/>
      <c r="D60" s="79"/>
      <c r="E60" s="79"/>
      <c r="F60" s="79"/>
      <c r="G60" s="79"/>
      <c r="H60" s="74"/>
    </row>
  </sheetData>
  <mergeCells count="7">
    <mergeCell ref="F13:F23"/>
    <mergeCell ref="F26:F38"/>
    <mergeCell ref="B2:G2"/>
    <mergeCell ref="C3:D3"/>
    <mergeCell ref="C4:D4"/>
    <mergeCell ref="F5:F10"/>
    <mergeCell ref="B48:F48"/>
  </mergeCells>
  <pageMargins left="0.7" right="0.7" top="0.75" bottom="0.75" header="0.3" footer="0.3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Лист1</vt:lpstr>
      <vt:lpstr>Тавассум</vt:lpstr>
      <vt:lpstr>Лист2</vt:lpstr>
      <vt:lpstr>хакимият</vt:lpstr>
      <vt:lpstr>копия хакимият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777</dc:creator>
  <cp:lastModifiedBy>User</cp:lastModifiedBy>
  <cp:lastPrinted>2022-09-12T06:53:39Z</cp:lastPrinted>
  <dcterms:created xsi:type="dcterms:W3CDTF">2022-05-06T05:08:59Z</dcterms:created>
  <dcterms:modified xsi:type="dcterms:W3CDTF">2022-09-12T13:18:30Z</dcterms:modified>
</cp:coreProperties>
</file>